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3" firstSheet="1" activeTab="5"/>
  </bookViews>
  <sheets>
    <sheet name="1996 a starší" sheetId="1" r:id="rId1"/>
    <sheet name="2001 a st." sheetId="2" r:id="rId2"/>
    <sheet name="2002 - 2003" sheetId="3" r:id="rId3"/>
    <sheet name="2004 - 2005" sheetId="4" r:id="rId4"/>
    <sheet name="2006" sheetId="5" r:id="rId5"/>
    <sheet name="2007" sheetId="6" r:id="rId6"/>
    <sheet name="MIMI" sheetId="7" r:id="rId7"/>
    <sheet name="Chlapci" sheetId="8" r:id="rId8"/>
  </sheets>
  <definedNames>
    <definedName name="_xlnm._FilterDatabase" localSheetId="0" hidden="1">'1996 a starší'!$A$5:$N$7</definedName>
    <definedName name="_xlnm._FilterDatabase" localSheetId="1" hidden="1">'2001 a st.'!$A$5:$P$5</definedName>
    <definedName name="_xlnm._FilterDatabase" localSheetId="2" hidden="1">'2002 - 2003'!$A$5:$P$5</definedName>
    <definedName name="_xlnm._FilterDatabase" localSheetId="3" hidden="1">'2004 - 2005'!$A$5:$P$5</definedName>
    <definedName name="_xlnm._FilterDatabase" localSheetId="4" hidden="1">'2006'!$A$5:$P$17</definedName>
    <definedName name="_xlnm._FilterDatabase" localSheetId="5" hidden="1">'2007'!$A$5:$P$25</definedName>
    <definedName name="_xlnm._FilterDatabase" localSheetId="7" hidden="1">'Chlapci'!$A$5:$P$5</definedName>
    <definedName name="_xlnm._FilterDatabase" localSheetId="6" hidden="1">'MIMI'!$A$5:$P$15</definedName>
    <definedName name="Excel_BuiltIn__FilterDatabase" localSheetId="4">'2006'!$A$5:$P$12</definedName>
    <definedName name="Excel_BuiltIn__FilterDatabase" localSheetId="5">'2007'!$A$5:$P$12</definedName>
    <definedName name="Excel_BuiltIn__FilterDatabase" localSheetId="6">'MIMI'!$A$5:$P$5</definedName>
  </definedNames>
  <calcPr fullCalcOnLoad="1"/>
</workbook>
</file>

<file path=xl/sharedStrings.xml><?xml version="1.0" encoding="utf-8"?>
<sst xmlns="http://schemas.openxmlformats.org/spreadsheetml/2006/main" count="613" uniqueCount="243">
  <si>
    <t>BEDŘICHOVSKÝ JEŽEK</t>
  </si>
  <si>
    <t>XVI. ročník</t>
  </si>
  <si>
    <t>Datum konání:12. 5. 2012</t>
  </si>
  <si>
    <t>Oddíl SG SOKOL Bedřichov</t>
  </si>
  <si>
    <t>KATEGORIE V.</t>
  </si>
  <si>
    <t>Nar. 1995 a starší</t>
  </si>
  <si>
    <t>Prostná</t>
  </si>
  <si>
    <t>Kladina</t>
  </si>
  <si>
    <t>CELKEM</t>
  </si>
  <si>
    <t>Poř.</t>
  </si>
  <si>
    <t>Příjmení, jméno</t>
  </si>
  <si>
    <t>Klub</t>
  </si>
  <si>
    <t>Trenér</t>
  </si>
  <si>
    <t>Roč.</t>
  </si>
  <si>
    <t>A</t>
  </si>
  <si>
    <t>B</t>
  </si>
  <si>
    <t>ost.</t>
  </si>
  <si>
    <t xml:space="preserve">konečná </t>
  </si>
  <si>
    <t>KATEGORIE IV.</t>
  </si>
  <si>
    <t>Sokol Horní Počernice</t>
  </si>
  <si>
    <t xml:space="preserve">KATEGORIE III. </t>
  </si>
  <si>
    <t>Sokol Chrudim</t>
  </si>
  <si>
    <t>Sokol Žižkov II.</t>
  </si>
  <si>
    <t>KATEGORIE II.</t>
  </si>
  <si>
    <t>SG Pelhřimov</t>
  </si>
  <si>
    <t>KATEGORIE I.</t>
  </si>
  <si>
    <t>Lavička</t>
  </si>
  <si>
    <t>Datum konání:</t>
  </si>
  <si>
    <t>KATEGORIE MIMI</t>
  </si>
  <si>
    <t>LOKO Pardubice</t>
  </si>
  <si>
    <t>Kupková</t>
  </si>
  <si>
    <t>Čáslavová Karolína</t>
  </si>
  <si>
    <t>Sokol Mor. Krumlov</t>
  </si>
  <si>
    <t>Klaková Kristýna</t>
  </si>
  <si>
    <t>Sokol Brno I.</t>
  </si>
  <si>
    <t>Sokol Hradec Králové</t>
  </si>
  <si>
    <t>Klausová Kamila</t>
  </si>
  <si>
    <t>Petráková</t>
  </si>
  <si>
    <t>Šotolová</t>
  </si>
  <si>
    <t>Bartošová Kristýna</t>
  </si>
  <si>
    <t>Bohatová Laura</t>
  </si>
  <si>
    <t>KSG Znojmo</t>
  </si>
  <si>
    <t>Křístelová</t>
  </si>
  <si>
    <t>Černá Marie</t>
  </si>
  <si>
    <t>BEDŘICHOVSKÝ  JEŽEK</t>
  </si>
  <si>
    <t>Kopáček David</t>
  </si>
  <si>
    <t>GYMPRA</t>
  </si>
  <si>
    <t>SG SOKOL Bedřichov</t>
  </si>
  <si>
    <t>Oddíl</t>
  </si>
  <si>
    <t>Oddíl:</t>
  </si>
  <si>
    <t xml:space="preserve">Datum konání: </t>
  </si>
  <si>
    <t>XVIII. ročník</t>
  </si>
  <si>
    <t>nar. 2008 a mladší</t>
  </si>
  <si>
    <t>Nar. 2002– 2003</t>
  </si>
  <si>
    <t>Nar. 2001 a starší</t>
  </si>
  <si>
    <t>Pedagog Modřany</t>
  </si>
  <si>
    <t>Kudličková, Mrázová</t>
  </si>
  <si>
    <t>Mrázová Kateřina</t>
  </si>
  <si>
    <t>Kvasničková Aneta</t>
  </si>
  <si>
    <t>Doležalová Daniela</t>
  </si>
  <si>
    <t>Linková Laura</t>
  </si>
  <si>
    <t>Novotná Amálka</t>
  </si>
  <si>
    <t>Sokol Hodonín</t>
  </si>
  <si>
    <t>Kudrnová</t>
  </si>
  <si>
    <t>Fittaiolo Eleonora Dagmar</t>
  </si>
  <si>
    <t>Vrábelová Ester</t>
  </si>
  <si>
    <t>Štochl Vojtěch</t>
  </si>
  <si>
    <t>Konečná, Konečný</t>
  </si>
  <si>
    <t>Schlesinger David</t>
  </si>
  <si>
    <t>Straka Jan</t>
  </si>
  <si>
    <t>Freslová Adéla</t>
  </si>
  <si>
    <t>Gympra</t>
  </si>
  <si>
    <t>Novotná, Konečná</t>
  </si>
  <si>
    <t>Juklíčková Nikola</t>
  </si>
  <si>
    <t>Havlenová Elena</t>
  </si>
  <si>
    <t>Bajerová Mia</t>
  </si>
  <si>
    <t>Štochlová Anna</t>
  </si>
  <si>
    <t>Morysková, Konečný</t>
  </si>
  <si>
    <t>Kovarik Lenka</t>
  </si>
  <si>
    <t>Freslová Natálie</t>
  </si>
  <si>
    <t>Mahrová Michaela</t>
  </si>
  <si>
    <t>Fráňová Lucie</t>
  </si>
  <si>
    <t>Wildová, Kubiasová</t>
  </si>
  <si>
    <t>Vítková Viktorie</t>
  </si>
  <si>
    <t>Wildová Adéla</t>
  </si>
  <si>
    <t>Döreová Lucie</t>
  </si>
  <si>
    <t>Polanská, Dvořáková</t>
  </si>
  <si>
    <t>Fráňová Kateřina</t>
  </si>
  <si>
    <t>Fráňová Veronika</t>
  </si>
  <si>
    <t>Palmová Simona</t>
  </si>
  <si>
    <t>Farkašová, Kubínová</t>
  </si>
  <si>
    <t>Jakubská Kateřina</t>
  </si>
  <si>
    <t>Doležalová Kateřina</t>
  </si>
  <si>
    <t xml:space="preserve">Linková </t>
  </si>
  <si>
    <t>Farabauerová Michaela</t>
  </si>
  <si>
    <t>Malinská Zuzana</t>
  </si>
  <si>
    <t>Linková</t>
  </si>
  <si>
    <t>Šimonová Bára</t>
  </si>
  <si>
    <t>Kulhavá Sára</t>
  </si>
  <si>
    <t>Horníková Karolína</t>
  </si>
  <si>
    <t>Adam Petr</t>
  </si>
  <si>
    <t>Slovan J. Hradec</t>
  </si>
  <si>
    <t>Adamová, Kadlecová</t>
  </si>
  <si>
    <t>Kadlec Filip</t>
  </si>
  <si>
    <t>Picková Magdaléna</t>
  </si>
  <si>
    <t>Dvořáková, Huboňová</t>
  </si>
  <si>
    <t>Pavlíková Leontýna</t>
  </si>
  <si>
    <t>Šablatúrová Dorota</t>
  </si>
  <si>
    <t>Kešnarová, Haneflová</t>
  </si>
  <si>
    <t>Dvořáková Adéla</t>
  </si>
  <si>
    <t>Jírová Gabriela</t>
  </si>
  <si>
    <t>Štufková Tereza</t>
  </si>
  <si>
    <t>Jeřábková Amélie</t>
  </si>
  <si>
    <t>Sosnová Pavlína</t>
  </si>
  <si>
    <t>Jeřábková Nikola</t>
  </si>
  <si>
    <t>Kocandová Marie Anna</t>
  </si>
  <si>
    <t>Doubková</t>
  </si>
  <si>
    <t>Štrosová Veronika</t>
  </si>
  <si>
    <t xml:space="preserve">Wilczková Michaela </t>
  </si>
  <si>
    <t>Večeřová, Vyžrálková, Benešová</t>
  </si>
  <si>
    <t>Molíková Simona</t>
  </si>
  <si>
    <t>Veselá Kateřina</t>
  </si>
  <si>
    <t>Peigerová Klára</t>
  </si>
  <si>
    <t>Kocandová Anna Marie</t>
  </si>
  <si>
    <t>Fülsaková Kateřina</t>
  </si>
  <si>
    <t>Parma</t>
  </si>
  <si>
    <t>Šímová Viktorie</t>
  </si>
  <si>
    <t>Dvořáková Barbora</t>
  </si>
  <si>
    <t>Kaliničová Anna</t>
  </si>
  <si>
    <t>Blašková, Jelínková, Vlková</t>
  </si>
  <si>
    <t>Šuplerová Anna</t>
  </si>
  <si>
    <t>Drncová Eliška</t>
  </si>
  <si>
    <t>Fefková Tereza</t>
  </si>
  <si>
    <t>Tyasko Anastasia</t>
  </si>
  <si>
    <t>Bauerová Karin</t>
  </si>
  <si>
    <t>Sirůčková Anna</t>
  </si>
  <si>
    <t>Herzánová Noemi</t>
  </si>
  <si>
    <t>Horáková Monika</t>
  </si>
  <si>
    <t>Šťovíčková Eliška</t>
  </si>
  <si>
    <t>Pokorná Eva</t>
  </si>
  <si>
    <t>Seidlová Anna</t>
  </si>
  <si>
    <t>Filipová Michaela</t>
  </si>
  <si>
    <t>GK Vítkovice</t>
  </si>
  <si>
    <t>Hynek, Prutkayová</t>
  </si>
  <si>
    <t>Hynek Klaudie</t>
  </si>
  <si>
    <t>Krýsová Anna</t>
  </si>
  <si>
    <t>Chylová Petra</t>
  </si>
  <si>
    <t>Katolická Nikola</t>
  </si>
  <si>
    <t>Chudá Viktória</t>
  </si>
  <si>
    <t>Procházková Kristýna</t>
  </si>
  <si>
    <t>Zaňáková Zuzana</t>
  </si>
  <si>
    <t>kolektiv</t>
  </si>
  <si>
    <t>Hájková Kristýna</t>
  </si>
  <si>
    <t>Šimanová Eliška</t>
  </si>
  <si>
    <t>Nezvedová Nikola</t>
  </si>
  <si>
    <t>Nacházelová Nela</t>
  </si>
  <si>
    <t>Vratišovská Zlata</t>
  </si>
  <si>
    <t>Švecová Eliška</t>
  </si>
  <si>
    <t>Tomšů Kateřina</t>
  </si>
  <si>
    <t>Horáková Lucie</t>
  </si>
  <si>
    <t>Sýkorová, Augustová M.</t>
  </si>
  <si>
    <t>Měšťánková Barbora</t>
  </si>
  <si>
    <t>Kurfürstová Nikola</t>
  </si>
  <si>
    <t>Augustová V., Hubáčková</t>
  </si>
  <si>
    <t>Linková Eliška</t>
  </si>
  <si>
    <t>Sokol Horrní Počernice</t>
  </si>
  <si>
    <t>Rosendorfová, Šotolová, Bučková</t>
  </si>
  <si>
    <t>Bartůšková Nicol</t>
  </si>
  <si>
    <t>Kreibichová Aneta</t>
  </si>
  <si>
    <t>Brožová Viktorie</t>
  </si>
  <si>
    <t>Králová Kristýna</t>
  </si>
  <si>
    <t>Králová Natálie</t>
  </si>
  <si>
    <t>Černická Anna</t>
  </si>
  <si>
    <t>Bohatová Gabriela</t>
  </si>
  <si>
    <t>Muhr, Formanová, Spitzerová</t>
  </si>
  <si>
    <t>Petříková Nicol</t>
  </si>
  <si>
    <t>Spitzerová Karolína</t>
  </si>
  <si>
    <t>Švábová Kateřina</t>
  </si>
  <si>
    <t>Zahradníčková Jana</t>
  </si>
  <si>
    <t>Kučerová Radka</t>
  </si>
  <si>
    <t>Sokol Přibyslavice</t>
  </si>
  <si>
    <t>Uhrová</t>
  </si>
  <si>
    <t>Mašková Kateřina</t>
  </si>
  <si>
    <t>Láníková Renata</t>
  </si>
  <si>
    <t>Ryšavá Monika</t>
  </si>
  <si>
    <t>Fialová Nela</t>
  </si>
  <si>
    <t>Řezba Ondřej</t>
  </si>
  <si>
    <t>Sokol Milevsko</t>
  </si>
  <si>
    <t>Jordanová</t>
  </si>
  <si>
    <t>Srb Vladimír</t>
  </si>
  <si>
    <t>Dvořáková</t>
  </si>
  <si>
    <t>Kleinbauer Filip</t>
  </si>
  <si>
    <t>Sokol Bedřichov</t>
  </si>
  <si>
    <t>Pošíková Nikol</t>
  </si>
  <si>
    <t>Sokol Poděbrady</t>
  </si>
  <si>
    <t>Zmeškalová</t>
  </si>
  <si>
    <t>Vávrová Monika</t>
  </si>
  <si>
    <t>Urbanová Johana</t>
  </si>
  <si>
    <t>Pešová Dorota</t>
  </si>
  <si>
    <t>Vokřínková Sára</t>
  </si>
  <si>
    <t xml:space="preserve">Mácová Barbora </t>
  </si>
  <si>
    <t>Šmídová Barbora</t>
  </si>
  <si>
    <t>Nechánská Tereza</t>
  </si>
  <si>
    <t>Krůtová Karolína</t>
  </si>
  <si>
    <t>Fialová Alžběta</t>
  </si>
  <si>
    <t>Křížová Michaela</t>
  </si>
  <si>
    <t>Srbová Michaela</t>
  </si>
  <si>
    <t>Řezbová Veronika</t>
  </si>
  <si>
    <t>Linhartová Valentýna</t>
  </si>
  <si>
    <t>Fricová Monika</t>
  </si>
  <si>
    <t>Slovan Praha</t>
  </si>
  <si>
    <t>Lagronová, Nováková</t>
  </si>
  <si>
    <t>Pokorná Eliška</t>
  </si>
  <si>
    <t>Kopáčková Klára</t>
  </si>
  <si>
    <t>Kuhnová, Lipšanová</t>
  </si>
  <si>
    <t>Verešová Eliška</t>
  </si>
  <si>
    <t>Hanžlíková Simona</t>
  </si>
  <si>
    <t>Bursová Jana</t>
  </si>
  <si>
    <t>Novotná Magdaléna</t>
  </si>
  <si>
    <t>Petržíková Ema</t>
  </si>
  <si>
    <t>Zahradníčková Lucie</t>
  </si>
  <si>
    <t>Vítová Magda</t>
  </si>
  <si>
    <t>Dvořáková, Vokřínková</t>
  </si>
  <si>
    <t>Vybíralová Soňa</t>
  </si>
  <si>
    <t>D obt.</t>
  </si>
  <si>
    <t>E Ø</t>
  </si>
  <si>
    <t>10 -EØ</t>
  </si>
  <si>
    <t>∑</t>
  </si>
  <si>
    <t>sráž.</t>
  </si>
  <si>
    <t>nar. 2006 – 2007</t>
  </si>
  <si>
    <t>10-EØ</t>
  </si>
  <si>
    <t>Pešičková Eliška</t>
  </si>
  <si>
    <t>Hošková Denisa</t>
  </si>
  <si>
    <t>Svobodová Klára</t>
  </si>
  <si>
    <t>Kinčlová Tereza</t>
  </si>
  <si>
    <t>Mrázová, Kudličková</t>
  </si>
  <si>
    <t>nar. 2004–2005</t>
  </si>
  <si>
    <t>KATEGORIE CHLAPCI</t>
  </si>
  <si>
    <t>nar. 2007 a mladší</t>
  </si>
  <si>
    <t>Cychlová Jana</t>
  </si>
  <si>
    <t>Bursa Lukáš</t>
  </si>
  <si>
    <t>Přeskok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</si>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</sst>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/m/yyyy;@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25" borderId="10" xfId="0" applyNumberFormat="1" applyFont="1" applyFill="1" applyBorder="1" applyAlignment="1">
      <alignment/>
    </xf>
    <xf numFmtId="164" fontId="4" fillId="25" borderId="13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65" fontId="11" fillId="0" borderId="0" xfId="0" applyNumberFormat="1" applyFont="1" applyAlignment="1">
      <alignment horizontal="left"/>
    </xf>
    <xf numFmtId="0" fontId="13" fillId="24" borderId="14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2" fontId="15" fillId="24" borderId="16" xfId="0" applyNumberFormat="1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right"/>
    </xf>
    <xf numFmtId="0" fontId="16" fillId="24" borderId="18" xfId="0" applyFont="1" applyFill="1" applyBorder="1" applyAlignment="1">
      <alignment horizontal="center"/>
    </xf>
    <xf numFmtId="0" fontId="16" fillId="24" borderId="18" xfId="0" applyFont="1" applyFill="1" applyBorder="1" applyAlignment="1">
      <alignment/>
    </xf>
    <xf numFmtId="2" fontId="17" fillId="24" borderId="18" xfId="0" applyNumberFormat="1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/>
    </xf>
    <xf numFmtId="164" fontId="13" fillId="26" borderId="20" xfId="0" applyNumberFormat="1" applyFont="1" applyFill="1" applyBorder="1" applyAlignment="1">
      <alignment/>
    </xf>
    <xf numFmtId="164" fontId="17" fillId="25" borderId="21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164" fontId="13" fillId="0" borderId="22" xfId="0" applyNumberFormat="1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164" fontId="13" fillId="0" borderId="2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9" fillId="24" borderId="14" xfId="0" applyFont="1" applyFill="1" applyBorder="1" applyAlignment="1">
      <alignment/>
    </xf>
    <xf numFmtId="0" fontId="14" fillId="24" borderId="15" xfId="0" applyFont="1" applyFill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164" fontId="13" fillId="26" borderId="22" xfId="0" applyNumberFormat="1" applyFont="1" applyFill="1" applyBorder="1" applyAlignment="1">
      <alignment/>
    </xf>
    <xf numFmtId="164" fontId="17" fillId="25" borderId="25" xfId="0" applyNumberFormat="1" applyFont="1" applyFill="1" applyBorder="1" applyAlignment="1">
      <alignment/>
    </xf>
    <xf numFmtId="1" fontId="17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164" fontId="17" fillId="25" borderId="28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left"/>
    </xf>
    <xf numFmtId="0" fontId="20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19" fillId="24" borderId="17" xfId="0" applyFont="1" applyFill="1" applyBorder="1" applyAlignment="1">
      <alignment horizontal="right"/>
    </xf>
    <xf numFmtId="0" fontId="19" fillId="24" borderId="18" xfId="0" applyFont="1" applyFill="1" applyBorder="1" applyAlignment="1">
      <alignment horizontal="center"/>
    </xf>
    <xf numFmtId="2" fontId="12" fillId="24" borderId="18" xfId="0" applyNumberFormat="1" applyFont="1" applyFill="1" applyBorder="1" applyAlignment="1">
      <alignment horizontal="center"/>
    </xf>
    <xf numFmtId="2" fontId="15" fillId="24" borderId="29" xfId="0" applyNumberFormat="1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10" fillId="24" borderId="15" xfId="0" applyFont="1" applyFill="1" applyBorder="1" applyAlignment="1">
      <alignment horizontal="center"/>
    </xf>
    <xf numFmtId="164" fontId="12" fillId="25" borderId="21" xfId="0" applyNumberFormat="1" applyFont="1" applyFill="1" applyBorder="1" applyAlignment="1">
      <alignment/>
    </xf>
    <xf numFmtId="0" fontId="20" fillId="0" borderId="23" xfId="0" applyFont="1" applyFill="1" applyBorder="1" applyAlignment="1">
      <alignment horizontal="left"/>
    </xf>
    <xf numFmtId="0" fontId="10" fillId="24" borderId="14" xfId="0" applyFont="1" applyFill="1" applyBorder="1" applyAlignment="1">
      <alignment/>
    </xf>
    <xf numFmtId="164" fontId="13" fillId="19" borderId="20" xfId="0" applyNumberFormat="1" applyFont="1" applyFill="1" applyBorder="1" applyAlignment="1">
      <alignment/>
    </xf>
    <xf numFmtId="164" fontId="13" fillId="19" borderId="22" xfId="0" applyNumberFormat="1" applyFont="1" applyFill="1" applyBorder="1" applyAlignment="1">
      <alignment/>
    </xf>
    <xf numFmtId="0" fontId="14" fillId="24" borderId="30" xfId="0" applyFont="1" applyFill="1" applyBorder="1" applyAlignment="1">
      <alignment/>
    </xf>
    <xf numFmtId="0" fontId="19" fillId="24" borderId="31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13" fillId="0" borderId="23" xfId="0" applyFont="1" applyFill="1" applyBorder="1" applyAlignment="1">
      <alignment horizontal="center"/>
    </xf>
    <xf numFmtId="0" fontId="20" fillId="0" borderId="23" xfId="0" applyFont="1" applyBorder="1" applyAlignment="1">
      <alignment/>
    </xf>
    <xf numFmtId="164" fontId="11" fillId="0" borderId="0" xfId="0" applyNumberFormat="1" applyFont="1" applyAlignment="1">
      <alignment/>
    </xf>
    <xf numFmtId="1" fontId="17" fillId="0" borderId="19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/>
    </xf>
    <xf numFmtId="0" fontId="13" fillId="0" borderId="22" xfId="0" applyFont="1" applyBorder="1" applyAlignment="1">
      <alignment vertical="top"/>
    </xf>
    <xf numFmtId="0" fontId="20" fillId="0" borderId="27" xfId="0" applyFont="1" applyBorder="1" applyAlignment="1">
      <alignment horizontal="left"/>
    </xf>
    <xf numFmtId="0" fontId="19" fillId="24" borderId="32" xfId="0" applyFont="1" applyFill="1" applyBorder="1" applyAlignment="1">
      <alignment horizontal="right"/>
    </xf>
    <xf numFmtId="0" fontId="19" fillId="24" borderId="11" xfId="0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15" fillId="24" borderId="33" xfId="0" applyNumberFormat="1" applyFont="1" applyFill="1" applyBorder="1" applyAlignment="1">
      <alignment horizontal="center" vertical="center"/>
    </xf>
    <xf numFmtId="164" fontId="13" fillId="0" borderId="27" xfId="0" applyNumberFormat="1" applyFont="1" applyBorder="1" applyAlignment="1">
      <alignment/>
    </xf>
    <xf numFmtId="164" fontId="13" fillId="19" borderId="27" xfId="0" applyNumberFormat="1" applyFont="1" applyFill="1" applyBorder="1" applyAlignment="1">
      <alignment/>
    </xf>
    <xf numFmtId="164" fontId="13" fillId="26" borderId="27" xfId="0" applyNumberFormat="1" applyFont="1" applyFill="1" applyBorder="1" applyAlignment="1">
      <alignment/>
    </xf>
    <xf numFmtId="0" fontId="16" fillId="24" borderId="32" xfId="0" applyFont="1" applyFill="1" applyBorder="1" applyAlignment="1">
      <alignment horizontal="right"/>
    </xf>
    <xf numFmtId="0" fontId="16" fillId="24" borderId="11" xfId="0" applyFont="1" applyFill="1" applyBorder="1" applyAlignment="1">
      <alignment horizontal="center"/>
    </xf>
    <xf numFmtId="0" fontId="16" fillId="24" borderId="11" xfId="0" applyFont="1" applyFill="1" applyBorder="1" applyAlignment="1">
      <alignment/>
    </xf>
    <xf numFmtId="2" fontId="17" fillId="24" borderId="11" xfId="0" applyNumberFormat="1" applyFont="1" applyFill="1" applyBorder="1" applyAlignment="1">
      <alignment horizontal="center"/>
    </xf>
    <xf numFmtId="1" fontId="17" fillId="0" borderId="34" xfId="0" applyNumberFormat="1" applyFont="1" applyBorder="1" applyAlignment="1">
      <alignment horizontal="center"/>
    </xf>
    <xf numFmtId="0" fontId="13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center"/>
    </xf>
    <xf numFmtId="164" fontId="13" fillId="0" borderId="35" xfId="0" applyNumberFormat="1" applyFont="1" applyBorder="1" applyAlignment="1">
      <alignment/>
    </xf>
    <xf numFmtId="164" fontId="13" fillId="19" borderId="35" xfId="0" applyNumberFormat="1" applyFont="1" applyFill="1" applyBorder="1" applyAlignment="1">
      <alignment/>
    </xf>
    <xf numFmtId="164" fontId="13" fillId="26" borderId="35" xfId="0" applyNumberFormat="1" applyFont="1" applyFill="1" applyBorder="1" applyAlignment="1">
      <alignment/>
    </xf>
    <xf numFmtId="164" fontId="17" fillId="25" borderId="36" xfId="0" applyNumberFormat="1" applyFont="1" applyFill="1" applyBorder="1" applyAlignment="1">
      <alignment/>
    </xf>
    <xf numFmtId="1" fontId="17" fillId="0" borderId="37" xfId="0" applyNumberFormat="1" applyFont="1" applyBorder="1" applyAlignment="1">
      <alignment horizontal="center"/>
    </xf>
    <xf numFmtId="0" fontId="20" fillId="0" borderId="27" xfId="0" applyFont="1" applyBorder="1" applyAlignment="1">
      <alignment/>
    </xf>
    <xf numFmtId="164" fontId="13" fillId="26" borderId="38" xfId="0" applyNumberFormat="1" applyFont="1" applyFill="1" applyBorder="1" applyAlignment="1">
      <alignment/>
    </xf>
    <xf numFmtId="164" fontId="13" fillId="19" borderId="38" xfId="0" applyNumberFormat="1" applyFont="1" applyFill="1" applyBorder="1" applyAlignment="1">
      <alignment/>
    </xf>
    <xf numFmtId="164" fontId="17" fillId="25" borderId="39" xfId="0" applyNumberFormat="1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5" fillId="24" borderId="40" xfId="0" applyNumberFormat="1" applyFont="1" applyFill="1" applyBorder="1" applyAlignment="1">
      <alignment horizontal="center" vertical="center"/>
    </xf>
    <xf numFmtId="2" fontId="15" fillId="24" borderId="36" xfId="0" applyNumberFormat="1" applyFont="1" applyFill="1" applyBorder="1" applyAlignment="1">
      <alignment horizontal="center" vertical="center"/>
    </xf>
    <xf numFmtId="2" fontId="15" fillId="24" borderId="41" xfId="0" applyNumberFormat="1" applyFont="1" applyFill="1" applyBorder="1" applyAlignment="1">
      <alignment horizontal="center" vertical="center"/>
    </xf>
    <xf numFmtId="2" fontId="15" fillId="24" borderId="4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5" xfId="0" applyFont="1" applyBorder="1" applyAlignment="1">
      <alignment horizontal="left"/>
    </xf>
    <xf numFmtId="0" fontId="20" fillId="0" borderId="35" xfId="0" applyFont="1" applyFill="1" applyBorder="1" applyAlignment="1">
      <alignment/>
    </xf>
    <xf numFmtId="164" fontId="12" fillId="25" borderId="36" xfId="0" applyNumberFormat="1" applyFont="1" applyFill="1" applyBorder="1" applyAlignment="1">
      <alignment/>
    </xf>
    <xf numFmtId="164" fontId="13" fillId="0" borderId="38" xfId="0" applyNumberFormat="1" applyFont="1" applyBorder="1" applyAlignment="1">
      <alignment/>
    </xf>
    <xf numFmtId="164" fontId="12" fillId="25" borderId="39" xfId="0" applyNumberFormat="1" applyFont="1" applyFill="1" applyBorder="1" applyAlignment="1">
      <alignment/>
    </xf>
    <xf numFmtId="1" fontId="17" fillId="0" borderId="34" xfId="0" applyNumberFormat="1" applyFont="1" applyFill="1" applyBorder="1" applyAlignment="1">
      <alignment horizontal="center"/>
    </xf>
    <xf numFmtId="1" fontId="17" fillId="0" borderId="37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2" fontId="6" fillId="24" borderId="13" xfId="0" applyNumberFormat="1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/>
    </xf>
    <xf numFmtId="0" fontId="14" fillId="24" borderId="15" xfId="0" applyFont="1" applyFill="1" applyBorder="1" applyAlignment="1">
      <alignment horizontal="center"/>
    </xf>
    <xf numFmtId="0" fontId="14" fillId="24" borderId="4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" t="s">
        <v>0</v>
      </c>
      <c r="D1" s="2"/>
      <c r="M1" s="3" t="s">
        <v>1</v>
      </c>
      <c r="N1" s="4"/>
    </row>
    <row r="3" spans="2:4" ht="12.75">
      <c r="B3" s="5" t="s">
        <v>2</v>
      </c>
      <c r="D3" s="5" t="s">
        <v>3</v>
      </c>
    </row>
    <row r="4" spans="1:14" ht="18.75" customHeight="1">
      <c r="A4" s="6"/>
      <c r="B4" s="7" t="s">
        <v>4</v>
      </c>
      <c r="C4" s="7" t="s">
        <v>5</v>
      </c>
      <c r="D4" s="6"/>
      <c r="E4" s="7"/>
      <c r="F4" s="131" t="s">
        <v>6</v>
      </c>
      <c r="G4" s="131"/>
      <c r="H4" s="131"/>
      <c r="I4" s="131"/>
      <c r="J4" s="131" t="s">
        <v>7</v>
      </c>
      <c r="K4" s="131"/>
      <c r="L4" s="131"/>
      <c r="M4" s="131"/>
      <c r="N4" s="132" t="s">
        <v>8</v>
      </c>
    </row>
    <row r="5" spans="1:14" ht="12.75">
      <c r="A5" s="8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10" t="s">
        <v>17</v>
      </c>
      <c r="J5" s="9" t="s">
        <v>14</v>
      </c>
      <c r="K5" s="9" t="s">
        <v>15</v>
      </c>
      <c r="L5" s="9" t="s">
        <v>16</v>
      </c>
      <c r="M5" s="10" t="s">
        <v>17</v>
      </c>
      <c r="N5" s="132"/>
    </row>
    <row r="6" spans="1:14" ht="13.5" customHeight="1">
      <c r="A6" s="11">
        <v>1</v>
      </c>
      <c r="B6" s="12"/>
      <c r="C6" s="12"/>
      <c r="D6" s="13"/>
      <c r="E6" s="14"/>
      <c r="F6" s="15"/>
      <c r="G6" s="15"/>
      <c r="H6" s="16"/>
      <c r="I6" s="17">
        <f>IF(ISBLANK(G6),"",F6+G6-H6)</f>
      </c>
      <c r="J6" s="15"/>
      <c r="K6" s="15"/>
      <c r="L6" s="16"/>
      <c r="M6" s="17">
        <f>IF(ISBLANK(K6),"",J6+K6-L6)</f>
      </c>
      <c r="N6" s="18">
        <f>IF(ISBLANK(G6),"",IF(ISBLANK(K6),"",I6+M6))</f>
      </c>
    </row>
    <row r="7" spans="1:14" ht="13.5" customHeight="1">
      <c r="A7" s="11">
        <v>2</v>
      </c>
      <c r="B7" s="12"/>
      <c r="C7" s="12"/>
      <c r="D7" s="13"/>
      <c r="E7" s="14"/>
      <c r="F7" s="15"/>
      <c r="G7" s="15"/>
      <c r="H7" s="16"/>
      <c r="I7" s="17">
        <f>IF(ISBLANK(G7),"",F7+G7-H7)</f>
      </c>
      <c r="J7" s="15"/>
      <c r="K7" s="15"/>
      <c r="L7" s="16"/>
      <c r="M7" s="17">
        <f>IF(ISBLANK(K7),"",J7+K7-L7)</f>
      </c>
      <c r="N7" s="18">
        <f>IF(ISBLANK(G7),"",IF(ISBLANK(K7),"",I7+M7))</f>
      </c>
    </row>
  </sheetData>
  <sheetProtection selectLockedCells="1" selectUnlockedCells="1"/>
  <autoFilter ref="A5:N7"/>
  <mergeCells count="3">
    <mergeCell ref="F4:I4"/>
    <mergeCell ref="J4:M4"/>
    <mergeCell ref="N4:N5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1" customWidth="1"/>
    <col min="2" max="2" width="20.421875" style="21" bestFit="1" customWidth="1"/>
    <col min="3" max="3" width="20.140625" style="21" bestFit="1" customWidth="1"/>
    <col min="4" max="4" width="17.00390625" style="21" customWidth="1"/>
    <col min="5" max="5" width="5.421875" style="49" customWidth="1"/>
    <col min="6" max="7" width="6.00390625" style="21" customWidth="1"/>
    <col min="8" max="9" width="6.00390625" style="86" customWidth="1"/>
    <col min="10" max="10" width="8.7109375" style="21" customWidth="1"/>
    <col min="11" max="12" width="6.00390625" style="21" customWidth="1"/>
    <col min="13" max="14" width="6.00390625" style="86" customWidth="1"/>
    <col min="15" max="15" width="8.7109375" style="21" customWidth="1"/>
    <col min="16" max="16" width="9.7109375" style="21" customWidth="1"/>
    <col min="17" max="16384" width="9.140625" style="21" customWidth="1"/>
  </cols>
  <sheetData>
    <row r="1" spans="1:16" ht="26.25" customHeight="1">
      <c r="A1" s="20" t="s">
        <v>0</v>
      </c>
      <c r="D1" s="20"/>
      <c r="O1" s="20" t="s">
        <v>51</v>
      </c>
      <c r="P1" s="22"/>
    </row>
    <row r="2" spans="2:4" ht="12.75">
      <c r="B2" s="23" t="s">
        <v>27</v>
      </c>
      <c r="D2" s="24" t="s">
        <v>48</v>
      </c>
    </row>
    <row r="3" spans="2:4" ht="13.5" thickBot="1">
      <c r="B3" s="25">
        <v>41762</v>
      </c>
      <c r="C3" s="24"/>
      <c r="D3" s="21" t="s">
        <v>47</v>
      </c>
    </row>
    <row r="4" spans="1:16" ht="18.75" customHeight="1">
      <c r="A4" s="88"/>
      <c r="B4" s="73" t="s">
        <v>18</v>
      </c>
      <c r="C4" s="73" t="s">
        <v>54</v>
      </c>
      <c r="D4" s="74"/>
      <c r="E4" s="75"/>
      <c r="F4" s="133" t="s">
        <v>6</v>
      </c>
      <c r="G4" s="133"/>
      <c r="H4" s="133"/>
      <c r="I4" s="133"/>
      <c r="J4" s="133"/>
      <c r="K4" s="133" t="s">
        <v>7</v>
      </c>
      <c r="L4" s="133"/>
      <c r="M4" s="133"/>
      <c r="N4" s="133"/>
      <c r="O4" s="133"/>
      <c r="P4" s="29" t="s">
        <v>227</v>
      </c>
    </row>
    <row r="5" spans="1:16" ht="13.5" customHeight="1" thickBot="1">
      <c r="A5" s="69" t="s">
        <v>9</v>
      </c>
      <c r="B5" s="70" t="s">
        <v>10</v>
      </c>
      <c r="C5" s="70" t="s">
        <v>11</v>
      </c>
      <c r="D5" s="70" t="s">
        <v>12</v>
      </c>
      <c r="E5" s="70" t="s">
        <v>13</v>
      </c>
      <c r="F5" s="70" t="s">
        <v>224</v>
      </c>
      <c r="G5" s="70" t="s">
        <v>225</v>
      </c>
      <c r="H5" s="70" t="s">
        <v>230</v>
      </c>
      <c r="I5" s="70" t="s">
        <v>228</v>
      </c>
      <c r="J5" s="71" t="s">
        <v>227</v>
      </c>
      <c r="K5" s="70" t="s">
        <v>224</v>
      </c>
      <c r="L5" s="70" t="s">
        <v>225</v>
      </c>
      <c r="M5" s="70" t="s">
        <v>230</v>
      </c>
      <c r="N5" s="70" t="s">
        <v>228</v>
      </c>
      <c r="O5" s="71" t="s">
        <v>227</v>
      </c>
      <c r="P5" s="72"/>
    </row>
    <row r="6" spans="1:16" ht="13.5" customHeight="1">
      <c r="A6" s="128">
        <v>1</v>
      </c>
      <c r="B6" s="103" t="s">
        <v>177</v>
      </c>
      <c r="C6" s="103" t="s">
        <v>19</v>
      </c>
      <c r="D6" s="103" t="s">
        <v>38</v>
      </c>
      <c r="E6" s="105">
        <v>2000</v>
      </c>
      <c r="F6" s="106">
        <v>3.4</v>
      </c>
      <c r="G6" s="106">
        <v>2.75</v>
      </c>
      <c r="H6" s="107">
        <f aca="true" t="shared" si="0" ref="H6:H19">IF(ISBLANK(G6),"",10-G6)</f>
        <v>7.25</v>
      </c>
      <c r="I6" s="106"/>
      <c r="J6" s="108">
        <f aca="true" t="shared" si="1" ref="J6:J19">IF(ISBLANK(G6),"",F6+H6-I6)</f>
        <v>10.65</v>
      </c>
      <c r="K6" s="106">
        <v>3.1</v>
      </c>
      <c r="L6" s="106">
        <f>AVERAGE(2.1,1.9,2,1.6)</f>
        <v>1.9</v>
      </c>
      <c r="M6" s="107">
        <f aca="true" t="shared" si="2" ref="M6:M19">IF(ISBLANK(L6),"",10-L6)</f>
        <v>8.1</v>
      </c>
      <c r="N6" s="106"/>
      <c r="O6" s="108">
        <f aca="true" t="shared" si="3" ref="O6:O19">IF(ISBLANK(L6),"",K6+M6-N6)</f>
        <v>11.2</v>
      </c>
      <c r="P6" s="109">
        <f aca="true" t="shared" si="4" ref="P6:P19">IF(ISBLANK(G6),"",IF(ISBLANK(L6),"",J6+O6))</f>
        <v>21.85</v>
      </c>
    </row>
    <row r="7" spans="1:16" ht="13.5" customHeight="1">
      <c r="A7" s="87">
        <v>2</v>
      </c>
      <c r="B7" s="41" t="s">
        <v>232</v>
      </c>
      <c r="C7" s="41" t="s">
        <v>19</v>
      </c>
      <c r="D7" s="41" t="s">
        <v>38</v>
      </c>
      <c r="E7" s="43">
        <v>1998</v>
      </c>
      <c r="F7" s="35">
        <v>3.9</v>
      </c>
      <c r="G7" s="35">
        <v>3.1</v>
      </c>
      <c r="H7" s="79">
        <f t="shared" si="0"/>
        <v>6.9</v>
      </c>
      <c r="I7" s="35"/>
      <c r="J7" s="36">
        <f t="shared" si="1"/>
        <v>10.8</v>
      </c>
      <c r="K7" s="35">
        <v>3.3</v>
      </c>
      <c r="L7" s="35">
        <f>AVERAGE(2.3,2.6,2.6,2.2)</f>
        <v>2.425</v>
      </c>
      <c r="M7" s="79">
        <f t="shared" si="2"/>
        <v>7.575</v>
      </c>
      <c r="N7" s="35"/>
      <c r="O7" s="36">
        <f t="shared" si="3"/>
        <v>10.875</v>
      </c>
      <c r="P7" s="37">
        <f t="shared" si="4"/>
        <v>21.675</v>
      </c>
    </row>
    <row r="8" spans="1:16" ht="13.5" customHeight="1">
      <c r="A8" s="87">
        <v>3</v>
      </c>
      <c r="B8" s="38" t="s">
        <v>175</v>
      </c>
      <c r="C8" s="38" t="s">
        <v>19</v>
      </c>
      <c r="D8" s="38" t="s">
        <v>163</v>
      </c>
      <c r="E8" s="39">
        <v>2001</v>
      </c>
      <c r="F8" s="35">
        <v>3.5</v>
      </c>
      <c r="G8" s="35">
        <v>3</v>
      </c>
      <c r="H8" s="79">
        <f t="shared" si="0"/>
        <v>7</v>
      </c>
      <c r="I8" s="35"/>
      <c r="J8" s="36">
        <f t="shared" si="1"/>
        <v>10.5</v>
      </c>
      <c r="K8" s="35">
        <v>3</v>
      </c>
      <c r="L8" s="35">
        <f>AVERAGE(2.6,2.3,2.4,1.9)</f>
        <v>2.3000000000000003</v>
      </c>
      <c r="M8" s="79">
        <f t="shared" si="2"/>
        <v>7.699999999999999</v>
      </c>
      <c r="N8" s="35"/>
      <c r="O8" s="36">
        <f t="shared" si="3"/>
        <v>10.7</v>
      </c>
      <c r="P8" s="37">
        <f t="shared" si="4"/>
        <v>21.2</v>
      </c>
    </row>
    <row r="9" spans="1:16" ht="12.75">
      <c r="A9" s="87">
        <v>4</v>
      </c>
      <c r="B9" s="41" t="s">
        <v>92</v>
      </c>
      <c r="C9" s="41" t="s">
        <v>21</v>
      </c>
      <c r="D9" s="41" t="s">
        <v>93</v>
      </c>
      <c r="E9" s="43">
        <v>2000</v>
      </c>
      <c r="F9" s="35">
        <v>3.9</v>
      </c>
      <c r="G9" s="35">
        <v>2.5</v>
      </c>
      <c r="H9" s="79">
        <f t="shared" si="0"/>
        <v>7.5</v>
      </c>
      <c r="I9" s="35"/>
      <c r="J9" s="36">
        <f t="shared" si="1"/>
        <v>11.4</v>
      </c>
      <c r="K9" s="35">
        <v>3.7</v>
      </c>
      <c r="L9" s="35">
        <f>AVERAGE(4.4,4.4,3.6,3.9)</f>
        <v>4.075</v>
      </c>
      <c r="M9" s="79">
        <f t="shared" si="2"/>
        <v>5.925</v>
      </c>
      <c r="N9" s="35"/>
      <c r="O9" s="36">
        <f t="shared" si="3"/>
        <v>9.625</v>
      </c>
      <c r="P9" s="37">
        <f t="shared" si="4"/>
        <v>21.025</v>
      </c>
    </row>
    <row r="10" spans="1:16" ht="12.75">
      <c r="A10" s="87">
        <v>5</v>
      </c>
      <c r="B10" s="38" t="s">
        <v>36</v>
      </c>
      <c r="C10" s="38" t="s">
        <v>35</v>
      </c>
      <c r="D10" s="38" t="s">
        <v>86</v>
      </c>
      <c r="E10" s="39">
        <v>2000</v>
      </c>
      <c r="F10" s="35">
        <v>3.4</v>
      </c>
      <c r="G10" s="35">
        <v>2.3</v>
      </c>
      <c r="H10" s="79">
        <f t="shared" si="0"/>
        <v>7.7</v>
      </c>
      <c r="I10" s="35"/>
      <c r="J10" s="36">
        <f t="shared" si="1"/>
        <v>11.1</v>
      </c>
      <c r="K10" s="35">
        <v>3.5</v>
      </c>
      <c r="L10" s="35">
        <f>AVERAGE(3.8,3.8,3.8,3.1)</f>
        <v>3.6249999999999996</v>
      </c>
      <c r="M10" s="79">
        <f t="shared" si="2"/>
        <v>6.375</v>
      </c>
      <c r="N10" s="35"/>
      <c r="O10" s="36">
        <f t="shared" si="3"/>
        <v>9.875</v>
      </c>
      <c r="P10" s="37">
        <f t="shared" si="4"/>
        <v>20.975</v>
      </c>
    </row>
    <row r="11" spans="1:16" ht="12.75">
      <c r="A11" s="87">
        <v>6</v>
      </c>
      <c r="B11" s="38" t="s">
        <v>111</v>
      </c>
      <c r="C11" s="38" t="s">
        <v>101</v>
      </c>
      <c r="D11" s="38" t="s">
        <v>108</v>
      </c>
      <c r="E11" s="39">
        <v>2001</v>
      </c>
      <c r="F11" s="35">
        <v>3.9</v>
      </c>
      <c r="G11" s="35">
        <v>2.5</v>
      </c>
      <c r="H11" s="79">
        <f t="shared" si="0"/>
        <v>7.5</v>
      </c>
      <c r="I11" s="35"/>
      <c r="J11" s="36">
        <f t="shared" si="1"/>
        <v>11.4</v>
      </c>
      <c r="K11" s="35">
        <v>3.8</v>
      </c>
      <c r="L11" s="35">
        <f>AVERAGE(4.6,4.6,3.7,4.3)</f>
        <v>4.3</v>
      </c>
      <c r="M11" s="79">
        <f t="shared" si="2"/>
        <v>5.7</v>
      </c>
      <c r="N11" s="35"/>
      <c r="O11" s="36">
        <f t="shared" si="3"/>
        <v>9.5</v>
      </c>
      <c r="P11" s="37">
        <f t="shared" si="4"/>
        <v>20.9</v>
      </c>
    </row>
    <row r="12" spans="1:16" ht="12.75">
      <c r="A12" s="87">
        <v>7</v>
      </c>
      <c r="B12" s="41" t="s">
        <v>110</v>
      </c>
      <c r="C12" s="41" t="s">
        <v>101</v>
      </c>
      <c r="D12" s="41" t="s">
        <v>108</v>
      </c>
      <c r="E12" s="43">
        <v>1999</v>
      </c>
      <c r="F12" s="35">
        <v>4</v>
      </c>
      <c r="G12" s="35">
        <v>3.4</v>
      </c>
      <c r="H12" s="79">
        <f t="shared" si="0"/>
        <v>6.6</v>
      </c>
      <c r="I12" s="35"/>
      <c r="J12" s="36">
        <f t="shared" si="1"/>
        <v>10.6</v>
      </c>
      <c r="K12" s="35">
        <v>4.2</v>
      </c>
      <c r="L12" s="35">
        <f>AVERAGE(3.9,3.9,3.9,4.6)</f>
        <v>4.074999999999999</v>
      </c>
      <c r="M12" s="79">
        <f t="shared" si="2"/>
        <v>5.925000000000001</v>
      </c>
      <c r="N12" s="35"/>
      <c r="O12" s="36">
        <f t="shared" si="3"/>
        <v>10.125</v>
      </c>
      <c r="P12" s="37">
        <f t="shared" si="4"/>
        <v>20.725</v>
      </c>
    </row>
    <row r="13" spans="1:16" ht="12.75">
      <c r="A13" s="87">
        <v>8</v>
      </c>
      <c r="B13" s="41" t="s">
        <v>43</v>
      </c>
      <c r="C13" s="41" t="s">
        <v>41</v>
      </c>
      <c r="D13" s="41" t="s">
        <v>42</v>
      </c>
      <c r="E13" s="39">
        <v>2000</v>
      </c>
      <c r="F13" s="35">
        <v>4.2</v>
      </c>
      <c r="G13" s="35">
        <v>3.9</v>
      </c>
      <c r="H13" s="79">
        <f t="shared" si="0"/>
        <v>6.1</v>
      </c>
      <c r="I13" s="35"/>
      <c r="J13" s="36">
        <f t="shared" si="1"/>
        <v>10.3</v>
      </c>
      <c r="K13" s="35">
        <v>3.7</v>
      </c>
      <c r="L13" s="35">
        <f>AVERAGE(4.3,4.2,4.3,4.1)</f>
        <v>4.225</v>
      </c>
      <c r="M13" s="79">
        <f t="shared" si="2"/>
        <v>5.775</v>
      </c>
      <c r="N13" s="35"/>
      <c r="O13" s="36">
        <f t="shared" si="3"/>
        <v>9.475000000000001</v>
      </c>
      <c r="P13" s="37">
        <f t="shared" si="4"/>
        <v>19.775000000000002</v>
      </c>
    </row>
    <row r="14" spans="1:16" ht="12.75">
      <c r="A14" s="87">
        <v>9</v>
      </c>
      <c r="B14" s="41" t="s">
        <v>176</v>
      </c>
      <c r="C14" s="41" t="s">
        <v>19</v>
      </c>
      <c r="D14" s="41" t="s">
        <v>38</v>
      </c>
      <c r="E14" s="43">
        <v>2001</v>
      </c>
      <c r="F14" s="35">
        <v>2.8</v>
      </c>
      <c r="G14" s="35">
        <v>4.15</v>
      </c>
      <c r="H14" s="79">
        <f t="shared" si="0"/>
        <v>5.85</v>
      </c>
      <c r="I14" s="35"/>
      <c r="J14" s="36">
        <f t="shared" si="1"/>
        <v>8.649999999999999</v>
      </c>
      <c r="K14" s="35">
        <v>3.2</v>
      </c>
      <c r="L14" s="35">
        <f>AVERAGE(3.7,3.9,3.4,3)</f>
        <v>3.5</v>
      </c>
      <c r="M14" s="79">
        <f t="shared" si="2"/>
        <v>6.5</v>
      </c>
      <c r="N14" s="35"/>
      <c r="O14" s="36">
        <f t="shared" si="3"/>
        <v>9.7</v>
      </c>
      <c r="P14" s="37">
        <f t="shared" si="4"/>
        <v>18.349999999999998</v>
      </c>
    </row>
    <row r="15" spans="1:16" ht="12.75">
      <c r="A15" s="87">
        <v>10</v>
      </c>
      <c r="B15" s="41" t="s">
        <v>212</v>
      </c>
      <c r="C15" s="41" t="s">
        <v>210</v>
      </c>
      <c r="D15" s="41" t="s">
        <v>211</v>
      </c>
      <c r="E15" s="43">
        <v>2001</v>
      </c>
      <c r="F15" s="35">
        <v>3.2</v>
      </c>
      <c r="G15" s="35">
        <v>3.3</v>
      </c>
      <c r="H15" s="79">
        <f t="shared" si="0"/>
        <v>6.7</v>
      </c>
      <c r="I15" s="35"/>
      <c r="J15" s="36">
        <f t="shared" si="1"/>
        <v>9.9</v>
      </c>
      <c r="K15" s="35">
        <v>3.4</v>
      </c>
      <c r="L15" s="35">
        <f>AVERAGE(5.8,4.9,5.3,5.2)</f>
        <v>5.3</v>
      </c>
      <c r="M15" s="79">
        <f t="shared" si="2"/>
        <v>4.7</v>
      </c>
      <c r="N15" s="35"/>
      <c r="O15" s="36">
        <f t="shared" si="3"/>
        <v>8.1</v>
      </c>
      <c r="P15" s="37">
        <f t="shared" si="4"/>
        <v>18</v>
      </c>
    </row>
    <row r="16" spans="1:16" ht="12.75">
      <c r="A16" s="87">
        <v>11</v>
      </c>
      <c r="B16" s="41" t="s">
        <v>178</v>
      </c>
      <c r="C16" s="41" t="s">
        <v>19</v>
      </c>
      <c r="D16" s="42" t="s">
        <v>38</v>
      </c>
      <c r="E16" s="43">
        <v>2000</v>
      </c>
      <c r="F16" s="35">
        <v>3.5</v>
      </c>
      <c r="G16" s="35">
        <v>5.1</v>
      </c>
      <c r="H16" s="79">
        <f t="shared" si="0"/>
        <v>4.9</v>
      </c>
      <c r="I16" s="35"/>
      <c r="J16" s="36">
        <f t="shared" si="1"/>
        <v>8.4</v>
      </c>
      <c r="K16" s="35">
        <v>2.9</v>
      </c>
      <c r="L16" s="35">
        <f>AVERAGE(4.2,3.6,3.8,3.6)</f>
        <v>3.8000000000000003</v>
      </c>
      <c r="M16" s="79">
        <f t="shared" si="2"/>
        <v>6.199999999999999</v>
      </c>
      <c r="N16" s="35"/>
      <c r="O16" s="36">
        <f t="shared" si="3"/>
        <v>9.1</v>
      </c>
      <c r="P16" s="37">
        <f t="shared" si="4"/>
        <v>17.5</v>
      </c>
    </row>
    <row r="17" spans="1:16" ht="12.75">
      <c r="A17" s="87">
        <v>12</v>
      </c>
      <c r="B17" s="41" t="s">
        <v>147</v>
      </c>
      <c r="C17" s="41" t="s">
        <v>41</v>
      </c>
      <c r="D17" s="41" t="s">
        <v>42</v>
      </c>
      <c r="E17" s="43">
        <v>2001</v>
      </c>
      <c r="F17" s="35">
        <v>3.1</v>
      </c>
      <c r="G17" s="35">
        <v>3.55</v>
      </c>
      <c r="H17" s="79">
        <f t="shared" si="0"/>
        <v>6.45</v>
      </c>
      <c r="I17" s="35"/>
      <c r="J17" s="36">
        <f t="shared" si="1"/>
        <v>9.55</v>
      </c>
      <c r="K17" s="35">
        <v>3.2</v>
      </c>
      <c r="L17" s="35">
        <f>AVERAGE(7,6.9,6.6,6.2)</f>
        <v>6.675</v>
      </c>
      <c r="M17" s="79">
        <f t="shared" si="2"/>
        <v>3.325</v>
      </c>
      <c r="N17" s="35"/>
      <c r="O17" s="36">
        <f t="shared" si="3"/>
        <v>6.525</v>
      </c>
      <c r="P17" s="37">
        <f t="shared" si="4"/>
        <v>16.075000000000003</v>
      </c>
    </row>
    <row r="18" spans="1:16" ht="12.75">
      <c r="A18" s="87">
        <v>13</v>
      </c>
      <c r="B18" s="46" t="s">
        <v>231</v>
      </c>
      <c r="C18" s="46" t="s">
        <v>187</v>
      </c>
      <c r="D18" s="46" t="s">
        <v>188</v>
      </c>
      <c r="E18" s="47">
        <v>2001</v>
      </c>
      <c r="F18" s="35">
        <v>2.2</v>
      </c>
      <c r="G18" s="35">
        <v>4.9</v>
      </c>
      <c r="H18" s="79">
        <f t="shared" si="0"/>
        <v>5.1</v>
      </c>
      <c r="I18" s="35"/>
      <c r="J18" s="36">
        <f t="shared" si="1"/>
        <v>7.3</v>
      </c>
      <c r="K18" s="35">
        <v>2.6</v>
      </c>
      <c r="L18" s="35">
        <f>AVERAGE(7,6.3,6.8,6.9)</f>
        <v>6.75</v>
      </c>
      <c r="M18" s="79">
        <f t="shared" si="2"/>
        <v>3.25</v>
      </c>
      <c r="N18" s="35"/>
      <c r="O18" s="36">
        <f t="shared" si="3"/>
        <v>5.85</v>
      </c>
      <c r="P18" s="37">
        <f t="shared" si="4"/>
        <v>13.149999999999999</v>
      </c>
    </row>
    <row r="19" spans="1:16" ht="13.5" thickBot="1">
      <c r="A19" s="129">
        <v>14</v>
      </c>
      <c r="B19" s="56" t="s">
        <v>179</v>
      </c>
      <c r="C19" s="56" t="s">
        <v>180</v>
      </c>
      <c r="D19" s="130" t="s">
        <v>181</v>
      </c>
      <c r="E19" s="57">
        <v>2000</v>
      </c>
      <c r="F19" s="126">
        <v>3.1</v>
      </c>
      <c r="G19" s="126">
        <v>6.15</v>
      </c>
      <c r="H19" s="113">
        <f t="shared" si="0"/>
        <v>3.8499999999999996</v>
      </c>
      <c r="I19" s="126"/>
      <c r="J19" s="112">
        <f t="shared" si="1"/>
        <v>6.949999999999999</v>
      </c>
      <c r="K19" s="126">
        <v>2.6</v>
      </c>
      <c r="L19" s="126">
        <f>AVERAGE(6,6.5,6.6,5.4)</f>
        <v>6.125</v>
      </c>
      <c r="M19" s="113">
        <f t="shared" si="2"/>
        <v>3.875</v>
      </c>
      <c r="N19" s="126">
        <v>4</v>
      </c>
      <c r="O19" s="112">
        <f t="shared" si="3"/>
        <v>2.4749999999999996</v>
      </c>
      <c r="P19" s="114">
        <f t="shared" si="4"/>
        <v>9.424999999999999</v>
      </c>
    </row>
  </sheetData>
  <sheetProtection selectLockedCells="1" selectUnlockedCells="1"/>
  <autoFilter ref="A5:P5">
    <sortState ref="A6:P19">
      <sortCondition descending="1" sortBy="value" ref="P6:P19"/>
    </sortState>
  </autoFilter>
  <mergeCells count="2">
    <mergeCell ref="F4:J4"/>
    <mergeCell ref="K4:O4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23"/>
  <sheetViews>
    <sheetView zoomScalePageLayoutView="0" workbookViewId="0" topLeftCell="A1">
      <selection activeCell="P23" sqref="A6:P23"/>
    </sheetView>
  </sheetViews>
  <sheetFormatPr defaultColWidth="9.140625" defaultRowHeight="12.75"/>
  <cols>
    <col min="1" max="1" width="4.421875" style="21" customWidth="1"/>
    <col min="2" max="2" width="24.140625" style="21" bestFit="1" customWidth="1"/>
    <col min="3" max="3" width="19.7109375" style="21" bestFit="1" customWidth="1"/>
    <col min="4" max="4" width="17.00390625" style="21" customWidth="1"/>
    <col min="5" max="5" width="5.140625" style="21" customWidth="1"/>
    <col min="6" max="9" width="6.00390625" style="21" customWidth="1"/>
    <col min="10" max="10" width="7.7109375" style="21" customWidth="1"/>
    <col min="11" max="14" width="6.00390625" style="21" customWidth="1"/>
    <col min="15" max="15" width="7.7109375" style="21" customWidth="1"/>
    <col min="16" max="16" width="9.7109375" style="21" customWidth="1"/>
    <col min="17" max="16384" width="9.140625" style="21" customWidth="1"/>
  </cols>
  <sheetData>
    <row r="1" spans="1:16" ht="26.25" customHeight="1">
      <c r="A1" s="20" t="s">
        <v>0</v>
      </c>
      <c r="D1" s="20"/>
      <c r="O1" s="20" t="s">
        <v>51</v>
      </c>
      <c r="P1" s="22"/>
    </row>
    <row r="2" spans="2:4" ht="12.75">
      <c r="B2" s="24" t="s">
        <v>27</v>
      </c>
      <c r="D2" s="24" t="s">
        <v>49</v>
      </c>
    </row>
    <row r="3" spans="2:4" ht="13.5" thickBot="1">
      <c r="B3" s="25">
        <v>41762</v>
      </c>
      <c r="D3" s="21" t="s">
        <v>47</v>
      </c>
    </row>
    <row r="4" spans="1:16" ht="18.75" customHeight="1">
      <c r="A4" s="62"/>
      <c r="B4" s="81" t="s">
        <v>20</v>
      </c>
      <c r="C4" s="27" t="s">
        <v>53</v>
      </c>
      <c r="D4" s="63"/>
      <c r="E4" s="27"/>
      <c r="F4" s="134" t="s">
        <v>6</v>
      </c>
      <c r="G4" s="134"/>
      <c r="H4" s="134"/>
      <c r="I4" s="134"/>
      <c r="J4" s="134"/>
      <c r="K4" s="135" t="s">
        <v>7</v>
      </c>
      <c r="L4" s="135"/>
      <c r="M4" s="135"/>
      <c r="N4" s="135"/>
      <c r="O4" s="135"/>
      <c r="P4" s="29" t="s">
        <v>227</v>
      </c>
    </row>
    <row r="5" spans="1:16" ht="13.5" customHeight="1" thickBot="1">
      <c r="A5" s="69" t="s">
        <v>9</v>
      </c>
      <c r="B5" s="82" t="s">
        <v>10</v>
      </c>
      <c r="C5" s="70" t="s">
        <v>11</v>
      </c>
      <c r="D5" s="70" t="s">
        <v>12</v>
      </c>
      <c r="E5" s="70" t="s">
        <v>13</v>
      </c>
      <c r="F5" s="70" t="s">
        <v>224</v>
      </c>
      <c r="G5" s="70" t="s">
        <v>225</v>
      </c>
      <c r="H5" s="70" t="s">
        <v>230</v>
      </c>
      <c r="I5" s="70" t="s">
        <v>228</v>
      </c>
      <c r="J5" s="71" t="s">
        <v>227</v>
      </c>
      <c r="K5" s="70" t="s">
        <v>224</v>
      </c>
      <c r="L5" s="70" t="s">
        <v>225</v>
      </c>
      <c r="M5" s="70" t="s">
        <v>230</v>
      </c>
      <c r="N5" s="70" t="s">
        <v>228</v>
      </c>
      <c r="O5" s="71" t="s">
        <v>227</v>
      </c>
      <c r="P5" s="72"/>
    </row>
    <row r="6" spans="1:16" ht="13.5" customHeight="1">
      <c r="A6" s="102">
        <v>1</v>
      </c>
      <c r="B6" s="103" t="s">
        <v>94</v>
      </c>
      <c r="C6" s="103" t="s">
        <v>55</v>
      </c>
      <c r="D6" s="104" t="s">
        <v>56</v>
      </c>
      <c r="E6" s="105">
        <v>2002</v>
      </c>
      <c r="F6" s="106">
        <v>3.5</v>
      </c>
      <c r="G6" s="106">
        <v>1.95</v>
      </c>
      <c r="H6" s="107">
        <f aca="true" t="shared" si="0" ref="H6:H23">IF(ISBLANK(G6),"",10-G6)</f>
        <v>8.05</v>
      </c>
      <c r="I6" s="106"/>
      <c r="J6" s="108">
        <f aca="true" t="shared" si="1" ref="J6:J23">IF(ISBLANK(G6),"",F6+H6-I6)</f>
        <v>11.55</v>
      </c>
      <c r="K6" s="106">
        <v>3.1</v>
      </c>
      <c r="L6" s="106">
        <f>AVERAGE(2,2,2.7,1.8)</f>
        <v>2.125</v>
      </c>
      <c r="M6" s="107">
        <f aca="true" t="shared" si="2" ref="M6:M23">IF(ISBLANK(L6),"",10-L6)</f>
        <v>7.875</v>
      </c>
      <c r="N6" s="106"/>
      <c r="O6" s="108">
        <f aca="true" t="shared" si="3" ref="O6:O23">IF(ISBLANK(L6),"",K6+M6-N6)</f>
        <v>10.975</v>
      </c>
      <c r="P6" s="125">
        <f aca="true" t="shared" si="4" ref="P6:P23">IF(ISBLANK(G6),"",IF(ISBLANK(L6),"",J6+O6))</f>
        <v>22.525</v>
      </c>
    </row>
    <row r="7" spans="1:16" ht="12.75">
      <c r="A7" s="34">
        <v>2</v>
      </c>
      <c r="B7" s="38" t="s">
        <v>220</v>
      </c>
      <c r="C7" s="38" t="s">
        <v>19</v>
      </c>
      <c r="D7" s="64" t="s">
        <v>174</v>
      </c>
      <c r="E7" s="38">
        <v>2003</v>
      </c>
      <c r="F7" s="35">
        <v>3.5</v>
      </c>
      <c r="G7" s="35">
        <v>2</v>
      </c>
      <c r="H7" s="79">
        <f t="shared" si="0"/>
        <v>8</v>
      </c>
      <c r="I7" s="35"/>
      <c r="J7" s="36">
        <f t="shared" si="1"/>
        <v>11.5</v>
      </c>
      <c r="K7" s="35">
        <v>3.5</v>
      </c>
      <c r="L7" s="35">
        <f>AVERAGE(3,3.1,3.3,3.1)</f>
        <v>3.1249999999999996</v>
      </c>
      <c r="M7" s="79">
        <f t="shared" si="2"/>
        <v>6.875</v>
      </c>
      <c r="N7" s="35"/>
      <c r="O7" s="36">
        <f t="shared" si="3"/>
        <v>10.375</v>
      </c>
      <c r="P7" s="76">
        <f t="shared" si="4"/>
        <v>21.875</v>
      </c>
    </row>
    <row r="8" spans="1:16" ht="12.75">
      <c r="A8" s="34">
        <v>3</v>
      </c>
      <c r="B8" s="38" t="s">
        <v>209</v>
      </c>
      <c r="C8" s="38" t="s">
        <v>210</v>
      </c>
      <c r="D8" s="64" t="s">
        <v>211</v>
      </c>
      <c r="E8" s="38">
        <v>2002</v>
      </c>
      <c r="F8" s="35">
        <v>4</v>
      </c>
      <c r="G8" s="35">
        <v>2.65</v>
      </c>
      <c r="H8" s="79">
        <f t="shared" si="0"/>
        <v>7.35</v>
      </c>
      <c r="I8" s="35"/>
      <c r="J8" s="36">
        <f t="shared" si="1"/>
        <v>11.35</v>
      </c>
      <c r="K8" s="35">
        <v>3.4</v>
      </c>
      <c r="L8" s="35">
        <f>AVERAGE(2.6,3.1,3.7,3.4)</f>
        <v>3.2</v>
      </c>
      <c r="M8" s="79">
        <f t="shared" si="2"/>
        <v>6.8</v>
      </c>
      <c r="N8" s="35"/>
      <c r="O8" s="36">
        <f t="shared" si="3"/>
        <v>10.2</v>
      </c>
      <c r="P8" s="76">
        <f t="shared" si="4"/>
        <v>21.549999999999997</v>
      </c>
    </row>
    <row r="9" spans="1:16" ht="12.75">
      <c r="A9" s="34">
        <v>4</v>
      </c>
      <c r="B9" s="38" t="s">
        <v>140</v>
      </c>
      <c r="C9" s="38" t="s">
        <v>29</v>
      </c>
      <c r="D9" s="64" t="s">
        <v>30</v>
      </c>
      <c r="E9" s="39">
        <v>2003</v>
      </c>
      <c r="F9" s="35">
        <v>3.4</v>
      </c>
      <c r="G9" s="35">
        <v>2.15</v>
      </c>
      <c r="H9" s="79">
        <f t="shared" si="0"/>
        <v>7.85</v>
      </c>
      <c r="I9" s="35"/>
      <c r="J9" s="36">
        <f t="shared" si="1"/>
        <v>11.25</v>
      </c>
      <c r="K9" s="35">
        <v>3.6</v>
      </c>
      <c r="L9" s="35">
        <f>AVERAGE(3.8,3.6,3.2,3.6)</f>
        <v>3.5500000000000003</v>
      </c>
      <c r="M9" s="79">
        <f t="shared" si="2"/>
        <v>6.449999999999999</v>
      </c>
      <c r="N9" s="35"/>
      <c r="O9" s="36">
        <f t="shared" si="3"/>
        <v>10.049999999999999</v>
      </c>
      <c r="P9" s="76">
        <f t="shared" si="4"/>
        <v>21.299999999999997</v>
      </c>
    </row>
    <row r="10" spans="1:16" ht="12.75">
      <c r="A10" s="34">
        <v>5</v>
      </c>
      <c r="B10" s="38" t="s">
        <v>148</v>
      </c>
      <c r="C10" s="38" t="s">
        <v>41</v>
      </c>
      <c r="D10" s="64" t="s">
        <v>42</v>
      </c>
      <c r="E10" s="38">
        <v>2002</v>
      </c>
      <c r="F10" s="35">
        <v>4.1</v>
      </c>
      <c r="G10" s="35">
        <v>3.3</v>
      </c>
      <c r="H10" s="79">
        <f t="shared" si="0"/>
        <v>6.7</v>
      </c>
      <c r="I10" s="35"/>
      <c r="J10" s="36">
        <f t="shared" si="1"/>
        <v>10.8</v>
      </c>
      <c r="K10" s="35">
        <v>3.7</v>
      </c>
      <c r="L10" s="35">
        <f>AVERAGE(3.7,3.2,3.9,3.2)</f>
        <v>3.5</v>
      </c>
      <c r="M10" s="79">
        <f t="shared" si="2"/>
        <v>6.5</v>
      </c>
      <c r="N10" s="35"/>
      <c r="O10" s="36">
        <f t="shared" si="3"/>
        <v>10.2</v>
      </c>
      <c r="P10" s="76">
        <f t="shared" si="4"/>
        <v>21</v>
      </c>
    </row>
    <row r="11" spans="1:16" ht="12.75">
      <c r="A11" s="34">
        <v>6</v>
      </c>
      <c r="B11" s="41" t="s">
        <v>233</v>
      </c>
      <c r="C11" s="41" t="s">
        <v>29</v>
      </c>
      <c r="D11" s="64" t="s">
        <v>30</v>
      </c>
      <c r="E11" s="43">
        <v>2003</v>
      </c>
      <c r="F11" s="35">
        <v>3.5</v>
      </c>
      <c r="G11" s="35">
        <v>3</v>
      </c>
      <c r="H11" s="79">
        <f t="shared" si="0"/>
        <v>7</v>
      </c>
      <c r="I11" s="35"/>
      <c r="J11" s="36">
        <f t="shared" si="1"/>
        <v>10.5</v>
      </c>
      <c r="K11" s="35">
        <v>3.1</v>
      </c>
      <c r="L11" s="35">
        <f>AVERAGE(3,2.7,2.6,3)</f>
        <v>2.825</v>
      </c>
      <c r="M11" s="79">
        <f t="shared" si="2"/>
        <v>7.175</v>
      </c>
      <c r="N11" s="35"/>
      <c r="O11" s="36">
        <f t="shared" si="3"/>
        <v>10.275</v>
      </c>
      <c r="P11" s="76">
        <f t="shared" si="4"/>
        <v>20.775</v>
      </c>
    </row>
    <row r="12" spans="1:16" ht="12.75">
      <c r="A12" s="34">
        <v>7</v>
      </c>
      <c r="B12" s="46" t="s">
        <v>95</v>
      </c>
      <c r="C12" s="46" t="s">
        <v>21</v>
      </c>
      <c r="D12" s="85" t="s">
        <v>96</v>
      </c>
      <c r="E12" s="47">
        <v>2002</v>
      </c>
      <c r="F12" s="35">
        <v>3.9</v>
      </c>
      <c r="G12" s="35">
        <v>2.8</v>
      </c>
      <c r="H12" s="79">
        <f t="shared" si="0"/>
        <v>7.2</v>
      </c>
      <c r="I12" s="35"/>
      <c r="J12" s="36">
        <f t="shared" si="1"/>
        <v>11.1</v>
      </c>
      <c r="K12" s="35">
        <v>3.8</v>
      </c>
      <c r="L12" s="35">
        <f>AVERAGE(4.9,4.2,4.8,4.8)</f>
        <v>4.675000000000001</v>
      </c>
      <c r="M12" s="79">
        <f t="shared" si="2"/>
        <v>5.324999999999999</v>
      </c>
      <c r="N12" s="35"/>
      <c r="O12" s="36">
        <f t="shared" si="3"/>
        <v>9.125</v>
      </c>
      <c r="P12" s="76">
        <f t="shared" si="4"/>
        <v>20.225</v>
      </c>
    </row>
    <row r="13" spans="1:16" ht="12.75">
      <c r="A13" s="34">
        <v>8</v>
      </c>
      <c r="B13" s="41" t="s">
        <v>141</v>
      </c>
      <c r="C13" s="41" t="s">
        <v>29</v>
      </c>
      <c r="D13" s="67" t="s">
        <v>30</v>
      </c>
      <c r="E13" s="43">
        <v>2003</v>
      </c>
      <c r="F13" s="35">
        <v>3.2</v>
      </c>
      <c r="G13" s="35">
        <v>4.1</v>
      </c>
      <c r="H13" s="79">
        <f t="shared" si="0"/>
        <v>5.9</v>
      </c>
      <c r="I13" s="35"/>
      <c r="J13" s="36">
        <f t="shared" si="1"/>
        <v>9.100000000000001</v>
      </c>
      <c r="K13" s="35">
        <v>3.2</v>
      </c>
      <c r="L13" s="35">
        <f>AVERAGE(2.2,2.1,2.5,2.2)</f>
        <v>2.25</v>
      </c>
      <c r="M13" s="79">
        <f t="shared" si="2"/>
        <v>7.75</v>
      </c>
      <c r="N13" s="35"/>
      <c r="O13" s="36">
        <f t="shared" si="3"/>
        <v>10.95</v>
      </c>
      <c r="P13" s="76">
        <f t="shared" si="4"/>
        <v>20.05</v>
      </c>
    </row>
    <row r="14" spans="1:16" ht="12.75">
      <c r="A14" s="34">
        <v>9</v>
      </c>
      <c r="B14" s="38" t="s">
        <v>107</v>
      </c>
      <c r="C14" s="38" t="s">
        <v>101</v>
      </c>
      <c r="D14" s="64" t="s">
        <v>108</v>
      </c>
      <c r="E14" s="39">
        <v>2003</v>
      </c>
      <c r="F14" s="35">
        <v>3.4</v>
      </c>
      <c r="G14" s="35">
        <v>3.55</v>
      </c>
      <c r="H14" s="79">
        <f t="shared" si="0"/>
        <v>6.45</v>
      </c>
      <c r="I14" s="35"/>
      <c r="J14" s="36">
        <f t="shared" si="1"/>
        <v>9.85</v>
      </c>
      <c r="K14" s="35">
        <v>3.4</v>
      </c>
      <c r="L14" s="35">
        <f>AVERAGE(3.8,4,4.3,4.2)</f>
        <v>4.075</v>
      </c>
      <c r="M14" s="79">
        <f t="shared" si="2"/>
        <v>5.925</v>
      </c>
      <c r="N14" s="35"/>
      <c r="O14" s="36">
        <f t="shared" si="3"/>
        <v>9.325</v>
      </c>
      <c r="P14" s="76">
        <f t="shared" si="4"/>
        <v>19.174999999999997</v>
      </c>
    </row>
    <row r="15" spans="1:16" ht="12.75">
      <c r="A15" s="34">
        <v>10</v>
      </c>
      <c r="B15" s="38" t="s">
        <v>173</v>
      </c>
      <c r="C15" s="38" t="s">
        <v>19</v>
      </c>
      <c r="D15" s="64" t="s">
        <v>174</v>
      </c>
      <c r="E15" s="38">
        <v>2003</v>
      </c>
      <c r="F15" s="35">
        <v>2.7</v>
      </c>
      <c r="G15" s="35">
        <v>4.85</v>
      </c>
      <c r="H15" s="79">
        <f t="shared" si="0"/>
        <v>5.15</v>
      </c>
      <c r="I15" s="35"/>
      <c r="J15" s="36">
        <f t="shared" si="1"/>
        <v>7.8500000000000005</v>
      </c>
      <c r="K15" s="35">
        <v>3.3</v>
      </c>
      <c r="L15" s="35">
        <f>AVERAGE(2.1,2.5,2.3,1.7)</f>
        <v>2.15</v>
      </c>
      <c r="M15" s="79">
        <f t="shared" si="2"/>
        <v>7.85</v>
      </c>
      <c r="N15" s="35"/>
      <c r="O15" s="36">
        <f t="shared" si="3"/>
        <v>11.149999999999999</v>
      </c>
      <c r="P15" s="76">
        <f t="shared" si="4"/>
        <v>19</v>
      </c>
    </row>
    <row r="16" spans="1:16" ht="12.75">
      <c r="A16" s="34">
        <v>11</v>
      </c>
      <c r="B16" s="38" t="s">
        <v>172</v>
      </c>
      <c r="C16" s="38" t="s">
        <v>19</v>
      </c>
      <c r="D16" s="64" t="s">
        <v>163</v>
      </c>
      <c r="E16" s="38">
        <v>2003</v>
      </c>
      <c r="F16" s="35">
        <v>3.6</v>
      </c>
      <c r="G16" s="35">
        <v>3.85</v>
      </c>
      <c r="H16" s="79">
        <f t="shared" si="0"/>
        <v>6.15</v>
      </c>
      <c r="I16" s="35"/>
      <c r="J16" s="36">
        <f t="shared" si="1"/>
        <v>9.75</v>
      </c>
      <c r="K16" s="35">
        <v>3.6</v>
      </c>
      <c r="L16" s="35">
        <f>AVERAGE(4,4.4,4.7,5.1)</f>
        <v>4.550000000000001</v>
      </c>
      <c r="M16" s="79">
        <f t="shared" si="2"/>
        <v>5.449999999999999</v>
      </c>
      <c r="N16" s="35"/>
      <c r="O16" s="36">
        <f t="shared" si="3"/>
        <v>9.049999999999999</v>
      </c>
      <c r="P16" s="76">
        <f t="shared" si="4"/>
        <v>18.799999999999997</v>
      </c>
    </row>
    <row r="17" spans="1:16" ht="12.75">
      <c r="A17" s="34">
        <v>12</v>
      </c>
      <c r="B17" s="38" t="s">
        <v>91</v>
      </c>
      <c r="C17" s="38" t="s">
        <v>35</v>
      </c>
      <c r="D17" s="65" t="s">
        <v>90</v>
      </c>
      <c r="E17" s="39">
        <v>2003</v>
      </c>
      <c r="F17" s="35">
        <v>2.7</v>
      </c>
      <c r="G17" s="35">
        <v>3.8</v>
      </c>
      <c r="H17" s="79">
        <f t="shared" si="0"/>
        <v>6.2</v>
      </c>
      <c r="I17" s="35"/>
      <c r="J17" s="36">
        <f t="shared" si="1"/>
        <v>8.9</v>
      </c>
      <c r="K17" s="35">
        <v>3.2</v>
      </c>
      <c r="L17" s="35">
        <f>AVERAGE(4.1,3.7,3.8,3.8)</f>
        <v>3.8499999999999996</v>
      </c>
      <c r="M17" s="79">
        <f t="shared" si="2"/>
        <v>6.15</v>
      </c>
      <c r="N17" s="35"/>
      <c r="O17" s="36">
        <f t="shared" si="3"/>
        <v>9.350000000000001</v>
      </c>
      <c r="P17" s="76">
        <f t="shared" si="4"/>
        <v>18.25</v>
      </c>
    </row>
    <row r="18" spans="1:16" ht="12.75">
      <c r="A18" s="34">
        <v>13</v>
      </c>
      <c r="B18" s="38" t="s">
        <v>122</v>
      </c>
      <c r="C18" s="38" t="s">
        <v>32</v>
      </c>
      <c r="D18" s="65" t="s">
        <v>119</v>
      </c>
      <c r="E18" s="39">
        <v>2003</v>
      </c>
      <c r="F18" s="35">
        <v>2.9</v>
      </c>
      <c r="G18" s="35">
        <v>4</v>
      </c>
      <c r="H18" s="79">
        <f t="shared" si="0"/>
        <v>6</v>
      </c>
      <c r="I18" s="35"/>
      <c r="J18" s="36">
        <f t="shared" si="1"/>
        <v>8.9</v>
      </c>
      <c r="K18" s="35">
        <v>2.7</v>
      </c>
      <c r="L18" s="35">
        <f>AVERAGE(4.6,3.4,4.2,3.6)</f>
        <v>3.9499999999999997</v>
      </c>
      <c r="M18" s="79">
        <f t="shared" si="2"/>
        <v>6.050000000000001</v>
      </c>
      <c r="N18" s="35"/>
      <c r="O18" s="36">
        <f t="shared" si="3"/>
        <v>8.75</v>
      </c>
      <c r="P18" s="76">
        <f t="shared" si="4"/>
        <v>17.65</v>
      </c>
    </row>
    <row r="19" spans="1:16" ht="12.75">
      <c r="A19" s="34">
        <v>14</v>
      </c>
      <c r="B19" s="38" t="s">
        <v>208</v>
      </c>
      <c r="C19" s="38" t="s">
        <v>187</v>
      </c>
      <c r="D19" s="64" t="s">
        <v>188</v>
      </c>
      <c r="E19" s="38">
        <v>2002</v>
      </c>
      <c r="F19" s="35">
        <v>2.7</v>
      </c>
      <c r="G19" s="35">
        <v>4.05</v>
      </c>
      <c r="H19" s="79">
        <f t="shared" si="0"/>
        <v>5.95</v>
      </c>
      <c r="I19" s="35"/>
      <c r="J19" s="36">
        <f t="shared" si="1"/>
        <v>8.65</v>
      </c>
      <c r="K19" s="35">
        <v>2.6</v>
      </c>
      <c r="L19" s="35">
        <f>AVERAGE(3.9,3.9,3.5,3.2)</f>
        <v>3.625</v>
      </c>
      <c r="M19" s="79">
        <f t="shared" si="2"/>
        <v>6.375</v>
      </c>
      <c r="N19" s="35"/>
      <c r="O19" s="36">
        <f t="shared" si="3"/>
        <v>8.975</v>
      </c>
      <c r="P19" s="76">
        <f t="shared" si="4"/>
        <v>17.625</v>
      </c>
    </row>
    <row r="20" spans="1:16" ht="12.75">
      <c r="A20" s="34">
        <v>15</v>
      </c>
      <c r="B20" s="38" t="s">
        <v>109</v>
      </c>
      <c r="C20" s="38" t="s">
        <v>101</v>
      </c>
      <c r="D20" s="65" t="s">
        <v>108</v>
      </c>
      <c r="E20" s="39">
        <v>2003</v>
      </c>
      <c r="F20" s="35">
        <v>2.7</v>
      </c>
      <c r="G20" s="35">
        <v>4</v>
      </c>
      <c r="H20" s="79">
        <f t="shared" si="0"/>
        <v>6</v>
      </c>
      <c r="I20" s="35"/>
      <c r="J20" s="36">
        <f t="shared" si="1"/>
        <v>8.7</v>
      </c>
      <c r="K20" s="35">
        <v>3.6</v>
      </c>
      <c r="L20" s="35">
        <f>AVERAGE(5.4,5.4,5.4,5.9)</f>
        <v>5.525</v>
      </c>
      <c r="M20" s="79">
        <f t="shared" si="2"/>
        <v>4.475</v>
      </c>
      <c r="N20" s="35"/>
      <c r="O20" s="36">
        <f t="shared" si="3"/>
        <v>8.075</v>
      </c>
      <c r="P20" s="76">
        <f t="shared" si="4"/>
        <v>16.775</v>
      </c>
    </row>
    <row r="21" spans="1:16" ht="12.75">
      <c r="A21" s="34">
        <v>16</v>
      </c>
      <c r="B21" s="38" t="s">
        <v>207</v>
      </c>
      <c r="C21" s="38" t="s">
        <v>187</v>
      </c>
      <c r="D21" s="64" t="s">
        <v>188</v>
      </c>
      <c r="E21" s="38">
        <v>2002</v>
      </c>
      <c r="F21" s="35">
        <v>2.2</v>
      </c>
      <c r="G21" s="35">
        <v>4.95</v>
      </c>
      <c r="H21" s="79">
        <f t="shared" si="0"/>
        <v>5.05</v>
      </c>
      <c r="I21" s="35"/>
      <c r="J21" s="36">
        <f t="shared" si="1"/>
        <v>7.25</v>
      </c>
      <c r="K21" s="35">
        <v>2.6</v>
      </c>
      <c r="L21" s="35">
        <f>AVERAGE(4.9,4,4.4,4)</f>
        <v>4.325</v>
      </c>
      <c r="M21" s="79">
        <f t="shared" si="2"/>
        <v>5.675</v>
      </c>
      <c r="N21" s="35"/>
      <c r="O21" s="36">
        <f t="shared" si="3"/>
        <v>8.275</v>
      </c>
      <c r="P21" s="76">
        <f t="shared" si="4"/>
        <v>15.525</v>
      </c>
    </row>
    <row r="22" spans="1:16" ht="12.75">
      <c r="A22" s="34">
        <v>17</v>
      </c>
      <c r="B22" s="41" t="s">
        <v>123</v>
      </c>
      <c r="C22" s="41" t="s">
        <v>32</v>
      </c>
      <c r="D22" s="67" t="s">
        <v>119</v>
      </c>
      <c r="E22" s="43">
        <v>2003</v>
      </c>
      <c r="F22" s="35">
        <v>2.4</v>
      </c>
      <c r="G22" s="35">
        <v>4.5</v>
      </c>
      <c r="H22" s="79">
        <f t="shared" si="0"/>
        <v>5.5</v>
      </c>
      <c r="I22" s="35"/>
      <c r="J22" s="36">
        <f t="shared" si="1"/>
        <v>7.9</v>
      </c>
      <c r="K22" s="35">
        <v>2.6</v>
      </c>
      <c r="L22" s="35">
        <f>AVERAGE(6,5.2,5.5,5.8)</f>
        <v>5.625</v>
      </c>
      <c r="M22" s="79">
        <f t="shared" si="2"/>
        <v>4.375</v>
      </c>
      <c r="N22" s="35"/>
      <c r="O22" s="36">
        <f t="shared" si="3"/>
        <v>6.975</v>
      </c>
      <c r="P22" s="76">
        <f t="shared" si="4"/>
        <v>14.875</v>
      </c>
    </row>
    <row r="23" spans="1:16" ht="13.5" thickBot="1">
      <c r="A23" s="110">
        <v>18</v>
      </c>
      <c r="B23" s="56" t="s">
        <v>223</v>
      </c>
      <c r="C23" s="56" t="s">
        <v>41</v>
      </c>
      <c r="D23" s="111" t="s">
        <v>42</v>
      </c>
      <c r="E23" s="56">
        <v>2003</v>
      </c>
      <c r="F23" s="126">
        <v>2.2</v>
      </c>
      <c r="G23" s="126">
        <v>5.75</v>
      </c>
      <c r="H23" s="113">
        <f t="shared" si="0"/>
        <v>4.25</v>
      </c>
      <c r="I23" s="126"/>
      <c r="J23" s="112">
        <f t="shared" si="1"/>
        <v>6.45</v>
      </c>
      <c r="K23" s="126">
        <v>2</v>
      </c>
      <c r="L23" s="126">
        <f>AVERAGE(6.2,5.5,6,5.2)</f>
        <v>5.725</v>
      </c>
      <c r="M23" s="113">
        <f t="shared" si="2"/>
        <v>4.275</v>
      </c>
      <c r="N23" s="126"/>
      <c r="O23" s="112">
        <f t="shared" si="3"/>
        <v>6.275</v>
      </c>
      <c r="P23" s="127">
        <f t="shared" si="4"/>
        <v>12.725000000000001</v>
      </c>
    </row>
  </sheetData>
  <sheetProtection selectLockedCells="1" selectUnlockedCells="1"/>
  <autoFilter ref="A5:P5">
    <sortState ref="A6:P23">
      <sortCondition descending="1" sortBy="value" ref="P6:P23"/>
    </sortState>
  </autoFilter>
  <mergeCells count="2">
    <mergeCell ref="F4:J4"/>
    <mergeCell ref="K4:O4"/>
  </mergeCells>
  <printOptions/>
  <pageMargins left="0.31527777777777777" right="0.19652777777777777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40"/>
  <sheetViews>
    <sheetView zoomScalePageLayoutView="0" workbookViewId="0" topLeftCell="A2">
      <selection activeCell="N36" sqref="N36"/>
    </sheetView>
  </sheetViews>
  <sheetFormatPr defaultColWidth="9.140625" defaultRowHeight="12.75"/>
  <cols>
    <col min="1" max="1" width="4.421875" style="21" customWidth="1"/>
    <col min="2" max="2" width="19.28125" style="21" bestFit="1" customWidth="1"/>
    <col min="3" max="3" width="19.7109375" style="21" bestFit="1" customWidth="1"/>
    <col min="4" max="4" width="17.00390625" style="21" customWidth="1"/>
    <col min="5" max="5" width="5.421875" style="21" customWidth="1"/>
    <col min="6" max="9" width="6.00390625" style="21" customWidth="1"/>
    <col min="10" max="10" width="7.7109375" style="21" customWidth="1"/>
    <col min="11" max="14" width="6.140625" style="21" customWidth="1"/>
    <col min="15" max="15" width="7.7109375" style="21" customWidth="1"/>
    <col min="16" max="16" width="9.7109375" style="24" customWidth="1"/>
    <col min="17" max="16384" width="9.140625" style="21" customWidth="1"/>
  </cols>
  <sheetData>
    <row r="1" spans="1:16" ht="26.25" customHeight="1">
      <c r="A1" s="20" t="s">
        <v>0</v>
      </c>
      <c r="D1" s="20"/>
      <c r="O1" s="20" t="s">
        <v>51</v>
      </c>
      <c r="P1" s="22"/>
    </row>
    <row r="2" spans="2:4" ht="12.75">
      <c r="B2" s="24" t="s">
        <v>27</v>
      </c>
      <c r="D2" s="24" t="s">
        <v>49</v>
      </c>
    </row>
    <row r="3" spans="2:4" ht="13.5" thickBot="1">
      <c r="B3" s="25">
        <v>41762</v>
      </c>
      <c r="D3" s="21" t="s">
        <v>47</v>
      </c>
    </row>
    <row r="4" spans="1:16" ht="18.75" customHeight="1">
      <c r="A4" s="78"/>
      <c r="B4" s="73" t="s">
        <v>23</v>
      </c>
      <c r="C4" s="73" t="s">
        <v>236</v>
      </c>
      <c r="D4" s="73"/>
      <c r="E4" s="73"/>
      <c r="F4" s="133" t="s">
        <v>6</v>
      </c>
      <c r="G4" s="133"/>
      <c r="H4" s="133"/>
      <c r="I4" s="133"/>
      <c r="J4" s="133"/>
      <c r="K4" s="133" t="s">
        <v>7</v>
      </c>
      <c r="L4" s="133"/>
      <c r="M4" s="133"/>
      <c r="N4" s="133"/>
      <c r="O4" s="133"/>
      <c r="P4" s="29" t="s">
        <v>227</v>
      </c>
    </row>
    <row r="5" spans="1:16" ht="13.5" customHeight="1" thickBot="1">
      <c r="A5" s="69" t="s">
        <v>9</v>
      </c>
      <c r="B5" s="70" t="s">
        <v>10</v>
      </c>
      <c r="C5" s="70" t="s">
        <v>11</v>
      </c>
      <c r="D5" s="70" t="s">
        <v>12</v>
      </c>
      <c r="E5" s="70" t="s">
        <v>13</v>
      </c>
      <c r="F5" s="70" t="s">
        <v>224</v>
      </c>
      <c r="G5" s="70" t="s">
        <v>225</v>
      </c>
      <c r="H5" s="70" t="s">
        <v>230</v>
      </c>
      <c r="I5" s="70" t="s">
        <v>228</v>
      </c>
      <c r="J5" s="71" t="s">
        <v>227</v>
      </c>
      <c r="K5" s="70" t="s">
        <v>224</v>
      </c>
      <c r="L5" s="70" t="s">
        <v>225</v>
      </c>
      <c r="M5" s="70" t="s">
        <v>230</v>
      </c>
      <c r="N5" s="70" t="s">
        <v>228</v>
      </c>
      <c r="O5" s="71" t="s">
        <v>227</v>
      </c>
      <c r="P5" s="72"/>
    </row>
    <row r="6" spans="1:16" ht="13.5" customHeight="1">
      <c r="A6" s="102">
        <v>1</v>
      </c>
      <c r="B6" s="103" t="s">
        <v>234</v>
      </c>
      <c r="C6" s="103" t="s">
        <v>29</v>
      </c>
      <c r="D6" s="124"/>
      <c r="E6" s="105">
        <v>2004</v>
      </c>
      <c r="F6" s="106">
        <v>4</v>
      </c>
      <c r="G6" s="106">
        <v>1.45</v>
      </c>
      <c r="H6" s="107">
        <f aca="true" t="shared" si="0" ref="H6:H40">IF(ISBLANK(G6),"",10-G6)</f>
        <v>8.55</v>
      </c>
      <c r="I6" s="106"/>
      <c r="J6" s="108">
        <f aca="true" t="shared" si="1" ref="J6:J40">IF(ISBLANK(G6),"",F6+H6-I6)</f>
        <v>12.55</v>
      </c>
      <c r="K6" s="106">
        <v>3.8</v>
      </c>
      <c r="L6" s="106">
        <v>1.75</v>
      </c>
      <c r="M6" s="107">
        <f aca="true" t="shared" si="2" ref="M6:M40">IF(ISBLANK(L6),"",10-L6)</f>
        <v>8.25</v>
      </c>
      <c r="N6" s="106"/>
      <c r="O6" s="108">
        <f aca="true" t="shared" si="3" ref="O6:O40">IF(ISBLANK(L6),"",K6+M6-N6)</f>
        <v>12.05</v>
      </c>
      <c r="P6" s="109">
        <f aca="true" t="shared" si="4" ref="P6:P40">IF(ISBLANK(G6),"",IF(ISBLANK(L6),"",J6+O6))</f>
        <v>24.6</v>
      </c>
    </row>
    <row r="7" spans="1:16" ht="13.5" customHeight="1">
      <c r="A7" s="34">
        <v>2</v>
      </c>
      <c r="B7" s="41" t="s">
        <v>98</v>
      </c>
      <c r="C7" s="41" t="s">
        <v>21</v>
      </c>
      <c r="D7" s="66" t="s">
        <v>96</v>
      </c>
      <c r="E7" s="43">
        <v>2005</v>
      </c>
      <c r="F7" s="35">
        <v>4.8</v>
      </c>
      <c r="G7" s="35">
        <v>2</v>
      </c>
      <c r="H7" s="79">
        <f t="shared" si="0"/>
        <v>8</v>
      </c>
      <c r="I7" s="35"/>
      <c r="J7" s="36">
        <f t="shared" si="1"/>
        <v>12.8</v>
      </c>
      <c r="K7" s="35">
        <v>4</v>
      </c>
      <c r="L7" s="35">
        <v>2.35</v>
      </c>
      <c r="M7" s="79">
        <f t="shared" si="2"/>
        <v>7.65</v>
      </c>
      <c r="N7" s="35"/>
      <c r="O7" s="36">
        <f t="shared" si="3"/>
        <v>11.65</v>
      </c>
      <c r="P7" s="37">
        <f t="shared" si="4"/>
        <v>24.450000000000003</v>
      </c>
    </row>
    <row r="8" spans="1:16" ht="13.5" customHeight="1">
      <c r="A8" s="34">
        <v>3</v>
      </c>
      <c r="B8" s="41" t="s">
        <v>112</v>
      </c>
      <c r="C8" s="41" t="s">
        <v>22</v>
      </c>
      <c r="D8" s="66" t="s">
        <v>37</v>
      </c>
      <c r="E8" s="43">
        <v>2004</v>
      </c>
      <c r="F8" s="35">
        <v>3.4</v>
      </c>
      <c r="G8" s="35">
        <v>1.15</v>
      </c>
      <c r="H8" s="79">
        <f t="shared" si="0"/>
        <v>8.85</v>
      </c>
      <c r="I8" s="35"/>
      <c r="J8" s="36">
        <f t="shared" si="1"/>
        <v>12.25</v>
      </c>
      <c r="K8" s="35">
        <v>3.4</v>
      </c>
      <c r="L8" s="35">
        <v>1.35</v>
      </c>
      <c r="M8" s="79">
        <f t="shared" si="2"/>
        <v>8.65</v>
      </c>
      <c r="N8" s="35"/>
      <c r="O8" s="36">
        <f t="shared" si="3"/>
        <v>12.05</v>
      </c>
      <c r="P8" s="37">
        <f t="shared" si="4"/>
        <v>24.3</v>
      </c>
    </row>
    <row r="9" spans="1:16" ht="13.5" customHeight="1">
      <c r="A9" s="34">
        <v>4</v>
      </c>
      <c r="B9" s="41" t="s">
        <v>138</v>
      </c>
      <c r="C9" s="41" t="s">
        <v>29</v>
      </c>
      <c r="D9" s="66"/>
      <c r="E9" s="43">
        <v>2004</v>
      </c>
      <c r="F9" s="35">
        <v>4.4</v>
      </c>
      <c r="G9" s="35">
        <v>1.75</v>
      </c>
      <c r="H9" s="79">
        <f t="shared" si="0"/>
        <v>8.25</v>
      </c>
      <c r="I9" s="35"/>
      <c r="J9" s="36">
        <f t="shared" si="1"/>
        <v>12.65</v>
      </c>
      <c r="K9" s="35">
        <v>4.1</v>
      </c>
      <c r="L9" s="35">
        <v>3</v>
      </c>
      <c r="M9" s="79">
        <f t="shared" si="2"/>
        <v>7</v>
      </c>
      <c r="N9" s="35"/>
      <c r="O9" s="36">
        <f t="shared" si="3"/>
        <v>11.1</v>
      </c>
      <c r="P9" s="37">
        <f t="shared" si="4"/>
        <v>23.75</v>
      </c>
    </row>
    <row r="10" spans="1:16" ht="13.5" customHeight="1">
      <c r="A10" s="34">
        <v>5</v>
      </c>
      <c r="B10" s="41" t="s">
        <v>113</v>
      </c>
      <c r="C10" s="41" t="s">
        <v>22</v>
      </c>
      <c r="D10" s="67" t="s">
        <v>37</v>
      </c>
      <c r="E10" s="43">
        <v>2005</v>
      </c>
      <c r="F10" s="35">
        <v>3.3</v>
      </c>
      <c r="G10" s="35">
        <v>2.4</v>
      </c>
      <c r="H10" s="79">
        <f t="shared" si="0"/>
        <v>7.6</v>
      </c>
      <c r="I10" s="35"/>
      <c r="J10" s="36">
        <f t="shared" si="1"/>
        <v>10.899999999999999</v>
      </c>
      <c r="K10" s="35">
        <v>3.5</v>
      </c>
      <c r="L10" s="35">
        <v>1.75</v>
      </c>
      <c r="M10" s="79">
        <f t="shared" si="2"/>
        <v>8.25</v>
      </c>
      <c r="N10" s="35"/>
      <c r="O10" s="36">
        <f t="shared" si="3"/>
        <v>11.75</v>
      </c>
      <c r="P10" s="37">
        <f t="shared" si="4"/>
        <v>22.65</v>
      </c>
    </row>
    <row r="11" spans="1:16" ht="13.5" customHeight="1">
      <c r="A11" s="34">
        <v>6</v>
      </c>
      <c r="B11" s="41" t="s">
        <v>139</v>
      </c>
      <c r="C11" s="41" t="s">
        <v>29</v>
      </c>
      <c r="D11" s="64"/>
      <c r="E11" s="38">
        <v>2004</v>
      </c>
      <c r="F11" s="35">
        <v>3.4</v>
      </c>
      <c r="G11" s="35">
        <v>2.25</v>
      </c>
      <c r="H11" s="79">
        <f t="shared" si="0"/>
        <v>7.75</v>
      </c>
      <c r="I11" s="35"/>
      <c r="J11" s="36">
        <f t="shared" si="1"/>
        <v>11.15</v>
      </c>
      <c r="K11" s="35">
        <v>3.7</v>
      </c>
      <c r="L11" s="35">
        <v>2.3</v>
      </c>
      <c r="M11" s="79">
        <f t="shared" si="2"/>
        <v>7.7</v>
      </c>
      <c r="N11" s="35"/>
      <c r="O11" s="36">
        <f t="shared" si="3"/>
        <v>11.4</v>
      </c>
      <c r="P11" s="37">
        <f t="shared" si="4"/>
        <v>22.55</v>
      </c>
    </row>
    <row r="12" spans="1:16" ht="13.5" customHeight="1">
      <c r="A12" s="34">
        <v>7</v>
      </c>
      <c r="B12" s="41" t="s">
        <v>97</v>
      </c>
      <c r="C12" s="41" t="s">
        <v>21</v>
      </c>
      <c r="D12" s="66" t="s">
        <v>96</v>
      </c>
      <c r="E12" s="43">
        <v>2005</v>
      </c>
      <c r="F12" s="35">
        <v>3.3</v>
      </c>
      <c r="G12" s="35">
        <v>2.4</v>
      </c>
      <c r="H12" s="79">
        <f t="shared" si="0"/>
        <v>7.6</v>
      </c>
      <c r="I12" s="35"/>
      <c r="J12" s="36">
        <f t="shared" si="1"/>
        <v>10.899999999999999</v>
      </c>
      <c r="K12" s="35">
        <v>3.6</v>
      </c>
      <c r="L12" s="35">
        <v>2.55</v>
      </c>
      <c r="M12" s="79">
        <f t="shared" si="2"/>
        <v>7.45</v>
      </c>
      <c r="N12" s="35"/>
      <c r="O12" s="36">
        <f t="shared" si="3"/>
        <v>11.05</v>
      </c>
      <c r="P12" s="37">
        <f t="shared" si="4"/>
        <v>21.95</v>
      </c>
    </row>
    <row r="13" spans="1:16" ht="13.5" customHeight="1">
      <c r="A13" s="34">
        <v>8</v>
      </c>
      <c r="B13" s="38" t="s">
        <v>168</v>
      </c>
      <c r="C13" s="38" t="s">
        <v>19</v>
      </c>
      <c r="D13" s="64" t="s">
        <v>163</v>
      </c>
      <c r="E13" s="38">
        <v>2005</v>
      </c>
      <c r="F13" s="35">
        <v>3.4</v>
      </c>
      <c r="G13" s="35">
        <v>2.05</v>
      </c>
      <c r="H13" s="79">
        <f t="shared" si="0"/>
        <v>7.95</v>
      </c>
      <c r="I13" s="35"/>
      <c r="J13" s="36">
        <f t="shared" si="1"/>
        <v>11.35</v>
      </c>
      <c r="K13" s="35">
        <v>3.6</v>
      </c>
      <c r="L13" s="35">
        <v>3</v>
      </c>
      <c r="M13" s="79">
        <f t="shared" si="2"/>
        <v>7</v>
      </c>
      <c r="N13" s="35"/>
      <c r="O13" s="36">
        <f t="shared" si="3"/>
        <v>10.6</v>
      </c>
      <c r="P13" s="37">
        <f t="shared" si="4"/>
        <v>21.95</v>
      </c>
    </row>
    <row r="14" spans="1:16" ht="13.5" customHeight="1">
      <c r="A14" s="34">
        <v>9</v>
      </c>
      <c r="B14" s="41" t="s">
        <v>85</v>
      </c>
      <c r="C14" s="38" t="s">
        <v>35</v>
      </c>
      <c r="D14" s="65" t="s">
        <v>86</v>
      </c>
      <c r="E14" s="39">
        <v>2005</v>
      </c>
      <c r="F14" s="35">
        <v>3.2</v>
      </c>
      <c r="G14" s="35">
        <v>2.4</v>
      </c>
      <c r="H14" s="79">
        <f t="shared" si="0"/>
        <v>7.6</v>
      </c>
      <c r="I14" s="35"/>
      <c r="J14" s="36">
        <f t="shared" si="1"/>
        <v>10.8</v>
      </c>
      <c r="K14" s="35">
        <v>3</v>
      </c>
      <c r="L14" s="35">
        <v>1.9</v>
      </c>
      <c r="M14" s="79">
        <f t="shared" si="2"/>
        <v>8.1</v>
      </c>
      <c r="N14" s="35"/>
      <c r="O14" s="36">
        <f t="shared" si="3"/>
        <v>11.1</v>
      </c>
      <c r="P14" s="37">
        <f t="shared" si="4"/>
        <v>21.9</v>
      </c>
    </row>
    <row r="15" spans="1:16" ht="13.5" customHeight="1">
      <c r="A15" s="34">
        <v>10</v>
      </c>
      <c r="B15" s="38" t="s">
        <v>58</v>
      </c>
      <c r="C15" s="38" t="s">
        <v>55</v>
      </c>
      <c r="D15" s="65" t="s">
        <v>235</v>
      </c>
      <c r="E15" s="39">
        <v>2005</v>
      </c>
      <c r="F15" s="35">
        <v>3.3</v>
      </c>
      <c r="G15" s="35">
        <v>2.1</v>
      </c>
      <c r="H15" s="79">
        <f t="shared" si="0"/>
        <v>7.9</v>
      </c>
      <c r="I15" s="35"/>
      <c r="J15" s="36">
        <f t="shared" si="1"/>
        <v>11.2</v>
      </c>
      <c r="K15" s="35">
        <v>3.6</v>
      </c>
      <c r="L15" s="35">
        <v>2.95</v>
      </c>
      <c r="M15" s="79">
        <f t="shared" si="2"/>
        <v>7.05</v>
      </c>
      <c r="N15" s="35"/>
      <c r="O15" s="36">
        <f t="shared" si="3"/>
        <v>10.65</v>
      </c>
      <c r="P15" s="37">
        <f t="shared" si="4"/>
        <v>21.85</v>
      </c>
    </row>
    <row r="16" spans="1:16" ht="12.75">
      <c r="A16" s="34">
        <v>11</v>
      </c>
      <c r="B16" s="38" t="s">
        <v>171</v>
      </c>
      <c r="C16" s="38" t="s">
        <v>19</v>
      </c>
      <c r="D16" s="64" t="s">
        <v>163</v>
      </c>
      <c r="E16" s="38">
        <v>2004</v>
      </c>
      <c r="F16" s="35">
        <v>3.3</v>
      </c>
      <c r="G16" s="35">
        <v>1.9</v>
      </c>
      <c r="H16" s="79">
        <f t="shared" si="0"/>
        <v>8.1</v>
      </c>
      <c r="I16" s="35"/>
      <c r="J16" s="36">
        <f t="shared" si="1"/>
        <v>11.399999999999999</v>
      </c>
      <c r="K16" s="35">
        <v>3.8</v>
      </c>
      <c r="L16" s="35">
        <v>3.6</v>
      </c>
      <c r="M16" s="79">
        <f t="shared" si="2"/>
        <v>6.4</v>
      </c>
      <c r="N16" s="35"/>
      <c r="O16" s="36">
        <f t="shared" si="3"/>
        <v>10.2</v>
      </c>
      <c r="P16" s="37">
        <f t="shared" si="4"/>
        <v>21.599999999999998</v>
      </c>
    </row>
    <row r="17" spans="1:16" ht="12.75">
      <c r="A17" s="34">
        <v>12</v>
      </c>
      <c r="B17" s="41" t="s">
        <v>137</v>
      </c>
      <c r="C17" s="41" t="s">
        <v>29</v>
      </c>
      <c r="D17" s="64"/>
      <c r="E17" s="43">
        <v>2005</v>
      </c>
      <c r="F17" s="35">
        <v>3.2</v>
      </c>
      <c r="G17" s="35">
        <v>2.8</v>
      </c>
      <c r="H17" s="79">
        <f t="shared" si="0"/>
        <v>7.2</v>
      </c>
      <c r="I17" s="35"/>
      <c r="J17" s="36">
        <f t="shared" si="1"/>
        <v>10.4</v>
      </c>
      <c r="K17" s="35">
        <v>3.7</v>
      </c>
      <c r="L17" s="35">
        <v>2.8</v>
      </c>
      <c r="M17" s="79">
        <f t="shared" si="2"/>
        <v>7.2</v>
      </c>
      <c r="N17" s="35"/>
      <c r="O17" s="36">
        <f t="shared" si="3"/>
        <v>10.9</v>
      </c>
      <c r="P17" s="37">
        <f t="shared" si="4"/>
        <v>21.3</v>
      </c>
    </row>
    <row r="18" spans="1:16" ht="12.75">
      <c r="A18" s="34">
        <v>13</v>
      </c>
      <c r="B18" s="38" t="s">
        <v>104</v>
      </c>
      <c r="C18" s="38" t="s">
        <v>101</v>
      </c>
      <c r="D18" s="65" t="s">
        <v>105</v>
      </c>
      <c r="E18" s="39">
        <v>2004</v>
      </c>
      <c r="F18" s="35">
        <v>3.5</v>
      </c>
      <c r="G18" s="35">
        <v>2.9</v>
      </c>
      <c r="H18" s="79">
        <f t="shared" si="0"/>
        <v>7.1</v>
      </c>
      <c r="I18" s="35"/>
      <c r="J18" s="36">
        <f t="shared" si="1"/>
        <v>10.6</v>
      </c>
      <c r="K18" s="35">
        <v>3.5</v>
      </c>
      <c r="L18" s="35">
        <v>2.8</v>
      </c>
      <c r="M18" s="79">
        <f t="shared" si="2"/>
        <v>7.2</v>
      </c>
      <c r="N18" s="35"/>
      <c r="O18" s="36">
        <f t="shared" si="3"/>
        <v>10.7</v>
      </c>
      <c r="P18" s="37">
        <f t="shared" si="4"/>
        <v>21.299999999999997</v>
      </c>
    </row>
    <row r="19" spans="1:16" ht="12.75">
      <c r="A19" s="34">
        <v>14</v>
      </c>
      <c r="B19" s="38" t="s">
        <v>170</v>
      </c>
      <c r="C19" s="38" t="s">
        <v>19</v>
      </c>
      <c r="D19" s="64" t="s">
        <v>163</v>
      </c>
      <c r="E19" s="38">
        <v>2004</v>
      </c>
      <c r="F19" s="35">
        <v>3.1</v>
      </c>
      <c r="G19" s="35">
        <v>3.4</v>
      </c>
      <c r="H19" s="79">
        <f t="shared" si="0"/>
        <v>6.6</v>
      </c>
      <c r="I19" s="35"/>
      <c r="J19" s="36">
        <f t="shared" si="1"/>
        <v>9.7</v>
      </c>
      <c r="K19" s="35">
        <v>3.5</v>
      </c>
      <c r="L19" s="35">
        <v>2.3</v>
      </c>
      <c r="M19" s="79">
        <f t="shared" si="2"/>
        <v>7.7</v>
      </c>
      <c r="N19" s="35"/>
      <c r="O19" s="36">
        <f t="shared" si="3"/>
        <v>11.2</v>
      </c>
      <c r="P19" s="37">
        <f t="shared" si="4"/>
        <v>20.9</v>
      </c>
    </row>
    <row r="20" spans="1:16" ht="12.75">
      <c r="A20" s="34">
        <v>15</v>
      </c>
      <c r="B20" s="41" t="s">
        <v>106</v>
      </c>
      <c r="C20" s="41" t="s">
        <v>101</v>
      </c>
      <c r="D20" s="66" t="s">
        <v>105</v>
      </c>
      <c r="E20" s="43">
        <v>2004</v>
      </c>
      <c r="F20" s="35">
        <v>3.8</v>
      </c>
      <c r="G20" s="35">
        <v>3.5</v>
      </c>
      <c r="H20" s="79">
        <f t="shared" si="0"/>
        <v>6.5</v>
      </c>
      <c r="I20" s="35"/>
      <c r="J20" s="36">
        <f t="shared" si="1"/>
        <v>10.3</v>
      </c>
      <c r="K20" s="35">
        <v>3.8</v>
      </c>
      <c r="L20" s="35">
        <v>3.8</v>
      </c>
      <c r="M20" s="79">
        <f t="shared" si="2"/>
        <v>6.2</v>
      </c>
      <c r="N20" s="35"/>
      <c r="O20" s="36">
        <f t="shared" si="3"/>
        <v>10</v>
      </c>
      <c r="P20" s="37">
        <f t="shared" si="4"/>
        <v>20.3</v>
      </c>
    </row>
    <row r="21" spans="1:16" ht="12.75">
      <c r="A21" s="34">
        <v>16</v>
      </c>
      <c r="B21" s="41" t="s">
        <v>149</v>
      </c>
      <c r="C21" s="41" t="s">
        <v>41</v>
      </c>
      <c r="D21" s="67" t="s">
        <v>42</v>
      </c>
      <c r="E21" s="43">
        <v>2004</v>
      </c>
      <c r="F21" s="35">
        <v>3.7</v>
      </c>
      <c r="G21" s="35">
        <v>2.8</v>
      </c>
      <c r="H21" s="79">
        <f t="shared" si="0"/>
        <v>7.2</v>
      </c>
      <c r="I21" s="35"/>
      <c r="J21" s="36">
        <f t="shared" si="1"/>
        <v>10.9</v>
      </c>
      <c r="K21" s="35">
        <v>3</v>
      </c>
      <c r="L21" s="35">
        <v>3.6</v>
      </c>
      <c r="M21" s="79">
        <f t="shared" si="2"/>
        <v>6.4</v>
      </c>
      <c r="N21" s="35"/>
      <c r="O21" s="36">
        <f t="shared" si="3"/>
        <v>9.4</v>
      </c>
      <c r="P21" s="37">
        <f t="shared" si="4"/>
        <v>20.3</v>
      </c>
    </row>
    <row r="22" spans="1:16" ht="12.75">
      <c r="A22" s="34">
        <v>17</v>
      </c>
      <c r="B22" s="41" t="s">
        <v>118</v>
      </c>
      <c r="C22" s="41" t="s">
        <v>32</v>
      </c>
      <c r="D22" s="66" t="s">
        <v>119</v>
      </c>
      <c r="E22" s="43">
        <v>2005</v>
      </c>
      <c r="F22" s="35">
        <v>3.1</v>
      </c>
      <c r="G22" s="35">
        <v>3.5</v>
      </c>
      <c r="H22" s="79">
        <f t="shared" si="0"/>
        <v>6.5</v>
      </c>
      <c r="I22" s="35"/>
      <c r="J22" s="36">
        <f t="shared" si="1"/>
        <v>9.6</v>
      </c>
      <c r="K22" s="35">
        <v>3.7</v>
      </c>
      <c r="L22" s="35">
        <v>3.1</v>
      </c>
      <c r="M22" s="79">
        <f t="shared" si="2"/>
        <v>6.9</v>
      </c>
      <c r="N22" s="35"/>
      <c r="O22" s="36">
        <f t="shared" si="3"/>
        <v>10.600000000000001</v>
      </c>
      <c r="P22" s="37">
        <f t="shared" si="4"/>
        <v>20.200000000000003</v>
      </c>
    </row>
    <row r="23" spans="1:16" ht="12.75">
      <c r="A23" s="34">
        <v>18</v>
      </c>
      <c r="B23" s="38" t="s">
        <v>156</v>
      </c>
      <c r="C23" s="38" t="s">
        <v>24</v>
      </c>
      <c r="D23" s="64" t="s">
        <v>151</v>
      </c>
      <c r="E23" s="38">
        <v>2004</v>
      </c>
      <c r="F23" s="35">
        <v>3.8</v>
      </c>
      <c r="G23" s="35">
        <v>4.35</v>
      </c>
      <c r="H23" s="79">
        <f t="shared" si="0"/>
        <v>5.65</v>
      </c>
      <c r="I23" s="35"/>
      <c r="J23" s="36">
        <f t="shared" si="1"/>
        <v>9.45</v>
      </c>
      <c r="K23" s="35">
        <v>3.9</v>
      </c>
      <c r="L23" s="35">
        <v>3.15</v>
      </c>
      <c r="M23" s="79">
        <f t="shared" si="2"/>
        <v>6.85</v>
      </c>
      <c r="N23" s="35"/>
      <c r="O23" s="36">
        <f t="shared" si="3"/>
        <v>10.75</v>
      </c>
      <c r="P23" s="37">
        <f t="shared" si="4"/>
        <v>20.2</v>
      </c>
    </row>
    <row r="24" spans="1:16" ht="12.75">
      <c r="A24" s="34">
        <v>19</v>
      </c>
      <c r="B24" s="41" t="s">
        <v>57</v>
      </c>
      <c r="C24" s="41" t="s">
        <v>55</v>
      </c>
      <c r="D24" s="66" t="s">
        <v>235</v>
      </c>
      <c r="E24" s="43">
        <v>2005</v>
      </c>
      <c r="F24" s="35">
        <v>3.3</v>
      </c>
      <c r="G24" s="35">
        <v>2.6</v>
      </c>
      <c r="H24" s="79">
        <f t="shared" si="0"/>
        <v>7.4</v>
      </c>
      <c r="I24" s="35"/>
      <c r="J24" s="36">
        <f t="shared" si="1"/>
        <v>10.7</v>
      </c>
      <c r="K24" s="35">
        <v>3.7</v>
      </c>
      <c r="L24" s="35">
        <v>4.55</v>
      </c>
      <c r="M24" s="79">
        <f t="shared" si="2"/>
        <v>5.45</v>
      </c>
      <c r="N24" s="35"/>
      <c r="O24" s="36">
        <f t="shared" si="3"/>
        <v>9.15</v>
      </c>
      <c r="P24" s="37">
        <f t="shared" si="4"/>
        <v>19.85</v>
      </c>
    </row>
    <row r="25" spans="1:21" ht="12.75">
      <c r="A25" s="34">
        <v>20</v>
      </c>
      <c r="B25" s="41" t="s">
        <v>88</v>
      </c>
      <c r="C25" s="41" t="s">
        <v>35</v>
      </c>
      <c r="D25" s="66" t="s">
        <v>82</v>
      </c>
      <c r="E25" s="43">
        <v>2005</v>
      </c>
      <c r="F25" s="35">
        <v>3.2</v>
      </c>
      <c r="G25" s="35">
        <v>3.7</v>
      </c>
      <c r="H25" s="79">
        <f t="shared" si="0"/>
        <v>6.3</v>
      </c>
      <c r="I25" s="35"/>
      <c r="J25" s="36">
        <f t="shared" si="1"/>
        <v>9.5</v>
      </c>
      <c r="K25" s="35">
        <v>2.2</v>
      </c>
      <c r="L25" s="35">
        <v>2.9</v>
      </c>
      <c r="M25" s="79">
        <f t="shared" si="2"/>
        <v>7.1</v>
      </c>
      <c r="N25" s="35"/>
      <c r="O25" s="36">
        <f t="shared" si="3"/>
        <v>9.3</v>
      </c>
      <c r="P25" s="37">
        <f t="shared" si="4"/>
        <v>18.8</v>
      </c>
      <c r="U25" s="21" t="s">
        <v>242</v>
      </c>
    </row>
    <row r="26" spans="1:16" ht="12.75">
      <c r="A26" s="34">
        <v>21</v>
      </c>
      <c r="B26" s="41" t="s">
        <v>87</v>
      </c>
      <c r="C26" s="41" t="s">
        <v>35</v>
      </c>
      <c r="D26" s="64" t="s">
        <v>82</v>
      </c>
      <c r="E26" s="43">
        <v>2005</v>
      </c>
      <c r="F26" s="35">
        <v>3.3</v>
      </c>
      <c r="G26" s="35">
        <v>3.05</v>
      </c>
      <c r="H26" s="79">
        <f t="shared" si="0"/>
        <v>6.95</v>
      </c>
      <c r="I26" s="35"/>
      <c r="J26" s="36">
        <f t="shared" si="1"/>
        <v>10.25</v>
      </c>
      <c r="K26" s="35">
        <v>2.2</v>
      </c>
      <c r="L26" s="35">
        <v>3.9</v>
      </c>
      <c r="M26" s="79">
        <f t="shared" si="2"/>
        <v>6.1</v>
      </c>
      <c r="N26" s="35"/>
      <c r="O26" s="36">
        <f t="shared" si="3"/>
        <v>8.3</v>
      </c>
      <c r="P26" s="37">
        <f t="shared" si="4"/>
        <v>18.55</v>
      </c>
    </row>
    <row r="27" spans="1:16" ht="12.75">
      <c r="A27" s="34">
        <v>22</v>
      </c>
      <c r="B27" s="38" t="s">
        <v>79</v>
      </c>
      <c r="C27" s="38" t="s">
        <v>71</v>
      </c>
      <c r="D27" s="65" t="s">
        <v>77</v>
      </c>
      <c r="E27" s="39">
        <v>2005</v>
      </c>
      <c r="F27" s="35">
        <v>3.1</v>
      </c>
      <c r="G27" s="35">
        <v>3</v>
      </c>
      <c r="H27" s="79">
        <f t="shared" si="0"/>
        <v>7</v>
      </c>
      <c r="I27" s="35"/>
      <c r="J27" s="36">
        <f t="shared" si="1"/>
        <v>10.1</v>
      </c>
      <c r="K27" s="35">
        <v>2.5</v>
      </c>
      <c r="L27" s="35">
        <v>4.4</v>
      </c>
      <c r="M27" s="79">
        <f t="shared" si="2"/>
        <v>5.6</v>
      </c>
      <c r="N27" s="35"/>
      <c r="O27" s="36">
        <f t="shared" si="3"/>
        <v>8.1</v>
      </c>
      <c r="P27" s="37">
        <f t="shared" si="4"/>
        <v>18.2</v>
      </c>
    </row>
    <row r="28" spans="1:16" ht="12.75">
      <c r="A28" s="34">
        <v>23</v>
      </c>
      <c r="B28" s="38" t="s">
        <v>120</v>
      </c>
      <c r="C28" s="38" t="s">
        <v>32</v>
      </c>
      <c r="D28" s="64" t="s">
        <v>119</v>
      </c>
      <c r="E28" s="39">
        <v>2004</v>
      </c>
      <c r="F28" s="35">
        <v>3.4</v>
      </c>
      <c r="G28" s="35">
        <v>3.6</v>
      </c>
      <c r="H28" s="79">
        <f t="shared" si="0"/>
        <v>6.4</v>
      </c>
      <c r="I28" s="35"/>
      <c r="J28" s="36">
        <f t="shared" si="1"/>
        <v>9.8</v>
      </c>
      <c r="K28" s="35">
        <v>3.2</v>
      </c>
      <c r="L28" s="35">
        <v>4.85</v>
      </c>
      <c r="M28" s="79">
        <f t="shared" si="2"/>
        <v>5.15</v>
      </c>
      <c r="N28" s="35"/>
      <c r="O28" s="36">
        <f t="shared" si="3"/>
        <v>8.350000000000001</v>
      </c>
      <c r="P28" s="37">
        <f t="shared" si="4"/>
        <v>18.150000000000002</v>
      </c>
    </row>
    <row r="29" spans="1:16" ht="12.75">
      <c r="A29" s="34">
        <v>24</v>
      </c>
      <c r="B29" s="41" t="s">
        <v>33</v>
      </c>
      <c r="C29" s="41" t="s">
        <v>32</v>
      </c>
      <c r="D29" s="66" t="s">
        <v>119</v>
      </c>
      <c r="E29" s="43">
        <v>2004</v>
      </c>
      <c r="F29" s="35">
        <v>3.4</v>
      </c>
      <c r="G29" s="35">
        <v>4.15</v>
      </c>
      <c r="H29" s="79">
        <f t="shared" si="0"/>
        <v>5.85</v>
      </c>
      <c r="I29" s="35"/>
      <c r="J29" s="36">
        <f t="shared" si="1"/>
        <v>9.25</v>
      </c>
      <c r="K29" s="35">
        <v>3.1</v>
      </c>
      <c r="L29" s="35">
        <v>4.25</v>
      </c>
      <c r="M29" s="79">
        <f t="shared" si="2"/>
        <v>5.75</v>
      </c>
      <c r="N29" s="35"/>
      <c r="O29" s="36">
        <f t="shared" si="3"/>
        <v>8.85</v>
      </c>
      <c r="P29" s="37">
        <f t="shared" si="4"/>
        <v>18.1</v>
      </c>
    </row>
    <row r="30" spans="1:16" ht="12.75">
      <c r="A30" s="34">
        <v>25</v>
      </c>
      <c r="B30" s="46" t="s">
        <v>121</v>
      </c>
      <c r="C30" s="46" t="s">
        <v>32</v>
      </c>
      <c r="D30" s="68" t="s">
        <v>119</v>
      </c>
      <c r="E30" s="47">
        <v>2005</v>
      </c>
      <c r="F30" s="35">
        <v>3.2</v>
      </c>
      <c r="G30" s="35">
        <v>3.45</v>
      </c>
      <c r="H30" s="79">
        <f t="shared" si="0"/>
        <v>6.55</v>
      </c>
      <c r="I30" s="35"/>
      <c r="J30" s="36">
        <f t="shared" si="1"/>
        <v>9.75</v>
      </c>
      <c r="K30" s="35">
        <v>1.7</v>
      </c>
      <c r="L30" s="35">
        <v>3.6</v>
      </c>
      <c r="M30" s="79">
        <f t="shared" si="2"/>
        <v>6.4</v>
      </c>
      <c r="N30" s="35"/>
      <c r="O30" s="36">
        <f t="shared" si="3"/>
        <v>8.1</v>
      </c>
      <c r="P30" s="37">
        <f t="shared" si="4"/>
        <v>17.85</v>
      </c>
    </row>
    <row r="31" spans="1:16" ht="12.75">
      <c r="A31" s="34">
        <v>26</v>
      </c>
      <c r="B31" s="38" t="s">
        <v>78</v>
      </c>
      <c r="C31" s="38" t="s">
        <v>71</v>
      </c>
      <c r="D31" s="65" t="s">
        <v>77</v>
      </c>
      <c r="E31" s="39">
        <v>2004</v>
      </c>
      <c r="F31" s="35">
        <v>2.9</v>
      </c>
      <c r="G31" s="35">
        <v>4.45</v>
      </c>
      <c r="H31" s="79">
        <f t="shared" si="0"/>
        <v>5.55</v>
      </c>
      <c r="I31" s="35"/>
      <c r="J31" s="36">
        <f t="shared" si="1"/>
        <v>8.45</v>
      </c>
      <c r="K31" s="35">
        <v>3.1</v>
      </c>
      <c r="L31" s="35">
        <v>3.8</v>
      </c>
      <c r="M31" s="79">
        <f t="shared" si="2"/>
        <v>6.2</v>
      </c>
      <c r="N31" s="35"/>
      <c r="O31" s="36">
        <f t="shared" si="3"/>
        <v>9.3</v>
      </c>
      <c r="P31" s="37">
        <f t="shared" si="4"/>
        <v>17.75</v>
      </c>
    </row>
    <row r="32" spans="1:16" ht="12.75">
      <c r="A32" s="34">
        <v>27</v>
      </c>
      <c r="B32" s="38" t="s">
        <v>157</v>
      </c>
      <c r="C32" s="38" t="s">
        <v>24</v>
      </c>
      <c r="D32" s="64" t="s">
        <v>151</v>
      </c>
      <c r="E32" s="38">
        <v>2005</v>
      </c>
      <c r="F32" s="35">
        <v>3.3</v>
      </c>
      <c r="G32" s="35">
        <v>5.55</v>
      </c>
      <c r="H32" s="79">
        <f t="shared" si="0"/>
        <v>4.45</v>
      </c>
      <c r="I32" s="35"/>
      <c r="J32" s="36">
        <f t="shared" si="1"/>
        <v>7.75</v>
      </c>
      <c r="K32" s="35">
        <v>3.2</v>
      </c>
      <c r="L32" s="35">
        <v>3.95</v>
      </c>
      <c r="M32" s="79">
        <f t="shared" si="2"/>
        <v>6.05</v>
      </c>
      <c r="N32" s="35"/>
      <c r="O32" s="36">
        <f t="shared" si="3"/>
        <v>9.25</v>
      </c>
      <c r="P32" s="37">
        <f t="shared" si="4"/>
        <v>17</v>
      </c>
    </row>
    <row r="33" spans="1:16" ht="12.75">
      <c r="A33" s="34">
        <v>28</v>
      </c>
      <c r="B33" s="38" t="s">
        <v>89</v>
      </c>
      <c r="C33" s="38" t="s">
        <v>35</v>
      </c>
      <c r="D33" s="64" t="s">
        <v>90</v>
      </c>
      <c r="E33" s="39">
        <v>2005</v>
      </c>
      <c r="F33" s="40">
        <v>2.9</v>
      </c>
      <c r="G33" s="40">
        <v>4.75</v>
      </c>
      <c r="H33" s="80">
        <f t="shared" si="0"/>
        <v>5.25</v>
      </c>
      <c r="I33" s="40"/>
      <c r="J33" s="53">
        <f t="shared" si="1"/>
        <v>8.15</v>
      </c>
      <c r="K33" s="40">
        <v>3</v>
      </c>
      <c r="L33" s="40">
        <v>4.3</v>
      </c>
      <c r="M33" s="80">
        <f t="shared" si="2"/>
        <v>5.7</v>
      </c>
      <c r="N33" s="40"/>
      <c r="O33" s="53">
        <f t="shared" si="3"/>
        <v>8.7</v>
      </c>
      <c r="P33" s="37">
        <f t="shared" si="4"/>
        <v>16.85</v>
      </c>
    </row>
    <row r="34" spans="1:16" ht="12.75">
      <c r="A34" s="34">
        <v>29</v>
      </c>
      <c r="B34" s="38" t="s">
        <v>206</v>
      </c>
      <c r="C34" s="38" t="s">
        <v>192</v>
      </c>
      <c r="D34" s="64" t="s">
        <v>190</v>
      </c>
      <c r="E34" s="38">
        <v>2005</v>
      </c>
      <c r="F34" s="40">
        <v>3.4</v>
      </c>
      <c r="G34" s="40">
        <v>4.3</v>
      </c>
      <c r="H34" s="80">
        <f t="shared" si="0"/>
        <v>5.7</v>
      </c>
      <c r="I34" s="40"/>
      <c r="J34" s="53">
        <f t="shared" si="1"/>
        <v>9.1</v>
      </c>
      <c r="K34" s="40">
        <v>3.2</v>
      </c>
      <c r="L34" s="40">
        <v>5.65</v>
      </c>
      <c r="M34" s="80">
        <f t="shared" si="2"/>
        <v>4.35</v>
      </c>
      <c r="N34" s="40"/>
      <c r="O34" s="53">
        <f t="shared" si="3"/>
        <v>7.55</v>
      </c>
      <c r="P34" s="37">
        <f t="shared" si="4"/>
        <v>16.65</v>
      </c>
    </row>
    <row r="35" spans="1:16" ht="12.75">
      <c r="A35" s="34">
        <v>30</v>
      </c>
      <c r="B35" s="44" t="s">
        <v>169</v>
      </c>
      <c r="C35" s="38" t="s">
        <v>19</v>
      </c>
      <c r="D35" s="64" t="s">
        <v>166</v>
      </c>
      <c r="E35" s="38">
        <v>2005</v>
      </c>
      <c r="F35" s="40">
        <v>3.2</v>
      </c>
      <c r="G35" s="40">
        <v>2.45</v>
      </c>
      <c r="H35" s="80">
        <f t="shared" si="0"/>
        <v>7.55</v>
      </c>
      <c r="I35" s="40"/>
      <c r="J35" s="53">
        <f t="shared" si="1"/>
        <v>10.75</v>
      </c>
      <c r="K35" s="40">
        <v>2.5</v>
      </c>
      <c r="L35" s="40">
        <v>6.6</v>
      </c>
      <c r="M35" s="80">
        <f t="shared" si="2"/>
        <v>3.4000000000000004</v>
      </c>
      <c r="N35" s="40"/>
      <c r="O35" s="53">
        <f t="shared" si="3"/>
        <v>5.9</v>
      </c>
      <c r="P35" s="37">
        <f t="shared" si="4"/>
        <v>16.65</v>
      </c>
    </row>
    <row r="36" spans="1:16" ht="12.75">
      <c r="A36" s="34">
        <v>31</v>
      </c>
      <c r="B36" s="38" t="s">
        <v>205</v>
      </c>
      <c r="C36" s="38" t="s">
        <v>187</v>
      </c>
      <c r="D36" s="64" t="s">
        <v>188</v>
      </c>
      <c r="E36" s="38">
        <v>2005</v>
      </c>
      <c r="F36" s="40">
        <v>3.2</v>
      </c>
      <c r="G36" s="40">
        <v>3.6</v>
      </c>
      <c r="H36" s="80">
        <f t="shared" si="0"/>
        <v>6.4</v>
      </c>
      <c r="I36" s="40"/>
      <c r="J36" s="53">
        <f t="shared" si="1"/>
        <v>9.600000000000001</v>
      </c>
      <c r="K36" s="40">
        <v>2.7</v>
      </c>
      <c r="L36" s="40">
        <v>3.7</v>
      </c>
      <c r="M36" s="80">
        <f t="shared" si="2"/>
        <v>6.3</v>
      </c>
      <c r="N36" s="40">
        <v>2</v>
      </c>
      <c r="O36" s="53">
        <f t="shared" si="3"/>
        <v>7</v>
      </c>
      <c r="P36" s="37">
        <f t="shared" si="4"/>
        <v>16.6</v>
      </c>
    </row>
    <row r="37" spans="1:16" ht="12.75">
      <c r="A37" s="34">
        <v>32</v>
      </c>
      <c r="B37" s="38" t="s">
        <v>204</v>
      </c>
      <c r="C37" s="38" t="s">
        <v>187</v>
      </c>
      <c r="D37" s="64" t="s">
        <v>188</v>
      </c>
      <c r="E37" s="38">
        <v>2005</v>
      </c>
      <c r="F37" s="40">
        <v>2.5</v>
      </c>
      <c r="G37" s="40">
        <v>2.5</v>
      </c>
      <c r="H37" s="80">
        <f t="shared" si="0"/>
        <v>7.5</v>
      </c>
      <c r="I37" s="40"/>
      <c r="J37" s="53">
        <f t="shared" si="1"/>
        <v>10</v>
      </c>
      <c r="K37" s="40">
        <v>2.7</v>
      </c>
      <c r="L37" s="40">
        <v>4.25</v>
      </c>
      <c r="M37" s="80">
        <f t="shared" si="2"/>
        <v>5.75</v>
      </c>
      <c r="N37" s="40">
        <v>2</v>
      </c>
      <c r="O37" s="53">
        <f t="shared" si="3"/>
        <v>6.449999999999999</v>
      </c>
      <c r="P37" s="37">
        <f t="shared" si="4"/>
        <v>16.45</v>
      </c>
    </row>
    <row r="38" spans="1:16" ht="12.75">
      <c r="A38" s="34">
        <v>33</v>
      </c>
      <c r="B38" s="38" t="s">
        <v>158</v>
      </c>
      <c r="C38" s="38" t="s">
        <v>24</v>
      </c>
      <c r="D38" s="64" t="s">
        <v>151</v>
      </c>
      <c r="E38" s="38">
        <v>2005</v>
      </c>
      <c r="F38" s="40">
        <v>3.3</v>
      </c>
      <c r="G38" s="40">
        <v>4.85</v>
      </c>
      <c r="H38" s="80">
        <f t="shared" si="0"/>
        <v>5.15</v>
      </c>
      <c r="I38" s="40"/>
      <c r="J38" s="53">
        <f t="shared" si="1"/>
        <v>8.45</v>
      </c>
      <c r="K38" s="40">
        <v>3.9</v>
      </c>
      <c r="L38" s="40">
        <v>6.05</v>
      </c>
      <c r="M38" s="80">
        <f t="shared" si="2"/>
        <v>3.95</v>
      </c>
      <c r="N38" s="40"/>
      <c r="O38" s="53">
        <f t="shared" si="3"/>
        <v>7.85</v>
      </c>
      <c r="P38" s="37">
        <f t="shared" si="4"/>
        <v>16.299999999999997</v>
      </c>
    </row>
    <row r="39" spans="1:16" ht="12.75">
      <c r="A39" s="34">
        <v>34</v>
      </c>
      <c r="B39" s="41" t="s">
        <v>80</v>
      </c>
      <c r="C39" s="38" t="s">
        <v>71</v>
      </c>
      <c r="D39" s="65" t="s">
        <v>77</v>
      </c>
      <c r="E39" s="39">
        <v>2005</v>
      </c>
      <c r="F39" s="40">
        <v>3.4</v>
      </c>
      <c r="G39" s="40">
        <v>3.8</v>
      </c>
      <c r="H39" s="80">
        <f t="shared" si="0"/>
        <v>6.2</v>
      </c>
      <c r="I39" s="40"/>
      <c r="J39" s="53">
        <f t="shared" si="1"/>
        <v>9.6</v>
      </c>
      <c r="K39" s="40">
        <v>1.8</v>
      </c>
      <c r="L39" s="40">
        <v>2.95</v>
      </c>
      <c r="M39" s="80">
        <f t="shared" si="2"/>
        <v>7.05</v>
      </c>
      <c r="N39" s="40">
        <v>6</v>
      </c>
      <c r="O39" s="53">
        <f t="shared" si="3"/>
        <v>2.8499999999999996</v>
      </c>
      <c r="P39" s="37">
        <f t="shared" si="4"/>
        <v>12.45</v>
      </c>
    </row>
    <row r="40" spans="1:16" ht="13.5" thickBot="1">
      <c r="A40" s="110">
        <v>35</v>
      </c>
      <c r="B40" s="56" t="s">
        <v>76</v>
      </c>
      <c r="C40" s="56" t="s">
        <v>71</v>
      </c>
      <c r="D40" s="90" t="s">
        <v>77</v>
      </c>
      <c r="E40" s="57">
        <v>2004</v>
      </c>
      <c r="F40" s="95">
        <v>3</v>
      </c>
      <c r="G40" s="95">
        <v>3.25</v>
      </c>
      <c r="H40" s="96">
        <f t="shared" si="0"/>
        <v>6.75</v>
      </c>
      <c r="I40" s="95"/>
      <c r="J40" s="97">
        <f t="shared" si="1"/>
        <v>9.75</v>
      </c>
      <c r="K40" s="95">
        <v>2.4</v>
      </c>
      <c r="L40" s="95">
        <v>3.85</v>
      </c>
      <c r="M40" s="96">
        <f t="shared" si="2"/>
        <v>6.15</v>
      </c>
      <c r="N40" s="95">
        <v>6</v>
      </c>
      <c r="O40" s="97">
        <f t="shared" si="3"/>
        <v>2.5500000000000007</v>
      </c>
      <c r="P40" s="114">
        <f t="shared" si="4"/>
        <v>12.3</v>
      </c>
    </row>
  </sheetData>
  <sheetProtection selectLockedCells="1" selectUnlockedCells="1"/>
  <autoFilter ref="A5:P5">
    <sortState ref="A6:P40">
      <sortCondition descending="1" sortBy="value" ref="P6:P40"/>
    </sortState>
  </autoFilter>
  <mergeCells count="2">
    <mergeCell ref="F4:J4"/>
    <mergeCell ref="K4:O4"/>
  </mergeCells>
  <printOptions/>
  <pageMargins left="0.3298611111111111" right="0.2" top="0.5" bottom="0.1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1" customWidth="1"/>
    <col min="2" max="2" width="20.421875" style="21" bestFit="1" customWidth="1"/>
    <col min="3" max="3" width="19.421875" style="21" bestFit="1" customWidth="1"/>
    <col min="4" max="4" width="17.00390625" style="21" customWidth="1"/>
    <col min="5" max="5" width="6.140625" style="49" customWidth="1"/>
    <col min="6" max="9" width="6.00390625" style="21" customWidth="1"/>
    <col min="10" max="10" width="7.7109375" style="21" customWidth="1"/>
    <col min="11" max="14" width="6.00390625" style="21" customWidth="1"/>
    <col min="15" max="15" width="7.7109375" style="21" customWidth="1"/>
    <col min="16" max="16" width="9.7109375" style="21" customWidth="1"/>
    <col min="17" max="16384" width="9.140625" style="21" customWidth="1"/>
  </cols>
  <sheetData>
    <row r="1" spans="1:16" ht="26.25" customHeight="1">
      <c r="A1" s="20" t="s">
        <v>0</v>
      </c>
      <c r="D1" s="20"/>
      <c r="O1" s="20" t="s">
        <v>51</v>
      </c>
      <c r="P1" s="22"/>
    </row>
    <row r="2" spans="2:4" ht="12.75">
      <c r="B2" s="24" t="s">
        <v>27</v>
      </c>
      <c r="D2" s="24" t="s">
        <v>49</v>
      </c>
    </row>
    <row r="3" spans="2:4" ht="13.5" thickBot="1">
      <c r="B3" s="25">
        <v>41762</v>
      </c>
      <c r="D3" s="21" t="s">
        <v>47</v>
      </c>
    </row>
    <row r="4" spans="1:16" ht="18.75" customHeight="1">
      <c r="A4" s="62"/>
      <c r="B4" s="73" t="s">
        <v>25</v>
      </c>
      <c r="C4" s="73" t="s">
        <v>229</v>
      </c>
      <c r="D4" s="74"/>
      <c r="E4" s="75"/>
      <c r="F4" s="133" t="s">
        <v>7</v>
      </c>
      <c r="G4" s="133"/>
      <c r="H4" s="133"/>
      <c r="I4" s="133"/>
      <c r="J4" s="133"/>
      <c r="K4" s="133" t="s">
        <v>6</v>
      </c>
      <c r="L4" s="133"/>
      <c r="M4" s="133"/>
      <c r="N4" s="133"/>
      <c r="O4" s="133"/>
      <c r="P4" s="29" t="s">
        <v>227</v>
      </c>
    </row>
    <row r="5" spans="1:16" ht="13.5" customHeight="1" thickBot="1">
      <c r="A5" s="91" t="s">
        <v>9</v>
      </c>
      <c r="B5" s="92" t="s">
        <v>10</v>
      </c>
      <c r="C5" s="92" t="s">
        <v>11</v>
      </c>
      <c r="D5" s="92" t="s">
        <v>12</v>
      </c>
      <c r="E5" s="92" t="s">
        <v>13</v>
      </c>
      <c r="F5" s="92" t="s">
        <v>224</v>
      </c>
      <c r="G5" s="92" t="s">
        <v>225</v>
      </c>
      <c r="H5" s="92" t="s">
        <v>230</v>
      </c>
      <c r="I5" s="92" t="s">
        <v>228</v>
      </c>
      <c r="J5" s="93" t="s">
        <v>227</v>
      </c>
      <c r="K5" s="92" t="s">
        <v>224</v>
      </c>
      <c r="L5" s="92" t="s">
        <v>225</v>
      </c>
      <c r="M5" s="92" t="s">
        <v>230</v>
      </c>
      <c r="N5" s="92" t="s">
        <v>228</v>
      </c>
      <c r="O5" s="93" t="s">
        <v>227</v>
      </c>
      <c r="P5" s="94"/>
    </row>
    <row r="6" spans="1:16" ht="13.5" customHeight="1">
      <c r="A6" s="102">
        <v>1</v>
      </c>
      <c r="B6" s="115" t="s">
        <v>145</v>
      </c>
      <c r="C6" s="115" t="s">
        <v>142</v>
      </c>
      <c r="D6" s="123" t="s">
        <v>143</v>
      </c>
      <c r="E6" s="116">
        <v>2006</v>
      </c>
      <c r="F6" s="106">
        <v>4</v>
      </c>
      <c r="G6" s="106">
        <f>AVERAGE(2.1,1.6,1.3,1.5)</f>
        <v>1.625</v>
      </c>
      <c r="H6" s="107">
        <f aca="true" t="shared" si="0" ref="H6:H29">IF(ISBLANK(G6),"",10-G6)</f>
        <v>8.375</v>
      </c>
      <c r="I6" s="106"/>
      <c r="J6" s="108">
        <f aca="true" t="shared" si="1" ref="J6:J29">IF(ISBLANK(G6),"",F6+H6-I6)</f>
        <v>12.375</v>
      </c>
      <c r="K6" s="106">
        <v>3.9</v>
      </c>
      <c r="L6" s="106">
        <v>1.2</v>
      </c>
      <c r="M6" s="107">
        <f aca="true" t="shared" si="2" ref="M6:M29">IF(ISBLANK(L6),"",10-L6)</f>
        <v>8.8</v>
      </c>
      <c r="N6" s="106"/>
      <c r="O6" s="108">
        <f aca="true" t="shared" si="3" ref="O6:O29">IF(ISBLANK(L6),"",K6+M6-N6)</f>
        <v>12.700000000000001</v>
      </c>
      <c r="P6" s="109">
        <f aca="true" t="shared" si="4" ref="P6:P29">IF(ISBLANK(G6),"",IF(ISBLANK(L6),"",J6+O6))</f>
        <v>25.075000000000003</v>
      </c>
    </row>
    <row r="7" spans="1:16" ht="13.5" customHeight="1">
      <c r="A7" s="52">
        <v>2</v>
      </c>
      <c r="B7" s="38" t="s">
        <v>99</v>
      </c>
      <c r="C7" s="38" t="s">
        <v>21</v>
      </c>
      <c r="D7" s="64" t="s">
        <v>96</v>
      </c>
      <c r="E7" s="39">
        <v>2006</v>
      </c>
      <c r="F7" s="40">
        <v>3.7</v>
      </c>
      <c r="G7" s="40">
        <f>AVERAGE(1.2,1.3,1.1,1.6)</f>
        <v>1.3</v>
      </c>
      <c r="H7" s="80">
        <f t="shared" si="0"/>
        <v>8.7</v>
      </c>
      <c r="I7" s="40"/>
      <c r="J7" s="53">
        <f t="shared" si="1"/>
        <v>12.399999999999999</v>
      </c>
      <c r="K7" s="40">
        <v>4.3</v>
      </c>
      <c r="L7" s="40">
        <v>2.3</v>
      </c>
      <c r="M7" s="80">
        <f t="shared" si="2"/>
        <v>7.7</v>
      </c>
      <c r="N7" s="40"/>
      <c r="O7" s="53">
        <f t="shared" si="3"/>
        <v>12</v>
      </c>
      <c r="P7" s="54">
        <f t="shared" si="4"/>
        <v>24.4</v>
      </c>
    </row>
    <row r="8" spans="1:16" ht="13.5" customHeight="1">
      <c r="A8" s="52">
        <v>3</v>
      </c>
      <c r="B8" s="38" t="s">
        <v>135</v>
      </c>
      <c r="C8" s="38" t="s">
        <v>29</v>
      </c>
      <c r="D8" s="65"/>
      <c r="E8" s="39">
        <v>2006</v>
      </c>
      <c r="F8" s="40">
        <v>3.7</v>
      </c>
      <c r="G8" s="40">
        <f>AVERAGE(1.7,1.5,0.9,1.2)</f>
        <v>1.3250000000000002</v>
      </c>
      <c r="H8" s="80">
        <f t="shared" si="0"/>
        <v>8.675</v>
      </c>
      <c r="I8" s="40"/>
      <c r="J8" s="53">
        <f t="shared" si="1"/>
        <v>12.375</v>
      </c>
      <c r="K8" s="40">
        <v>3.4</v>
      </c>
      <c r="L8" s="40">
        <v>2</v>
      </c>
      <c r="M8" s="80">
        <f t="shared" si="2"/>
        <v>8</v>
      </c>
      <c r="N8" s="40"/>
      <c r="O8" s="53">
        <f t="shared" si="3"/>
        <v>11.4</v>
      </c>
      <c r="P8" s="54">
        <f t="shared" si="4"/>
        <v>23.775</v>
      </c>
    </row>
    <row r="9" spans="1:16" ht="13.5" customHeight="1">
      <c r="A9" s="52">
        <v>4</v>
      </c>
      <c r="B9" s="38" t="s">
        <v>40</v>
      </c>
      <c r="C9" s="38" t="s">
        <v>165</v>
      </c>
      <c r="D9" s="64" t="s">
        <v>166</v>
      </c>
      <c r="E9" s="39">
        <v>2006</v>
      </c>
      <c r="F9" s="40">
        <v>3.5</v>
      </c>
      <c r="G9" s="40">
        <f>AVERAGE(1.9,1.9,2,1.8)</f>
        <v>1.9</v>
      </c>
      <c r="H9" s="80">
        <f t="shared" si="0"/>
        <v>8.1</v>
      </c>
      <c r="I9" s="40"/>
      <c r="J9" s="53">
        <f t="shared" si="1"/>
        <v>11.6</v>
      </c>
      <c r="K9" s="40">
        <v>3.1</v>
      </c>
      <c r="L9" s="40">
        <v>1.4</v>
      </c>
      <c r="M9" s="80">
        <f t="shared" si="2"/>
        <v>8.6</v>
      </c>
      <c r="N9" s="40"/>
      <c r="O9" s="53">
        <f t="shared" si="3"/>
        <v>11.7</v>
      </c>
      <c r="P9" s="54">
        <f t="shared" si="4"/>
        <v>23.299999999999997</v>
      </c>
    </row>
    <row r="10" spans="1:16" ht="12.75">
      <c r="A10" s="52">
        <v>5</v>
      </c>
      <c r="B10" s="41" t="s">
        <v>146</v>
      </c>
      <c r="C10" s="41" t="s">
        <v>142</v>
      </c>
      <c r="D10" s="66" t="s">
        <v>143</v>
      </c>
      <c r="E10" s="43">
        <v>2006</v>
      </c>
      <c r="F10" s="40">
        <v>3.5</v>
      </c>
      <c r="G10" s="40">
        <f>AVERAGE(2.1,1.7,1.3,1.5)</f>
        <v>1.65</v>
      </c>
      <c r="H10" s="80">
        <f t="shared" si="0"/>
        <v>8.35</v>
      </c>
      <c r="I10" s="40"/>
      <c r="J10" s="53">
        <f t="shared" si="1"/>
        <v>11.85</v>
      </c>
      <c r="K10" s="40">
        <v>3.1</v>
      </c>
      <c r="L10" s="40">
        <v>1.9</v>
      </c>
      <c r="M10" s="80">
        <f t="shared" si="2"/>
        <v>8.1</v>
      </c>
      <c r="N10" s="40"/>
      <c r="O10" s="53">
        <f t="shared" si="3"/>
        <v>11.2</v>
      </c>
      <c r="P10" s="54">
        <f t="shared" si="4"/>
        <v>23.049999999999997</v>
      </c>
    </row>
    <row r="11" spans="1:16" ht="12.75">
      <c r="A11" s="52">
        <v>6</v>
      </c>
      <c r="B11" s="44" t="s">
        <v>39</v>
      </c>
      <c r="C11" s="38" t="s">
        <v>165</v>
      </c>
      <c r="D11" s="64" t="s">
        <v>163</v>
      </c>
      <c r="E11" s="39">
        <v>2006</v>
      </c>
      <c r="F11" s="40">
        <v>3.2</v>
      </c>
      <c r="G11" s="40">
        <f>AVERAGE(1.5,1.6,2.1,1.6)</f>
        <v>1.7000000000000002</v>
      </c>
      <c r="H11" s="80">
        <f t="shared" si="0"/>
        <v>8.3</v>
      </c>
      <c r="I11" s="40"/>
      <c r="J11" s="53">
        <f t="shared" si="1"/>
        <v>11.5</v>
      </c>
      <c r="K11" s="40">
        <v>2.9</v>
      </c>
      <c r="L11" s="40">
        <v>1.4</v>
      </c>
      <c r="M11" s="80">
        <f t="shared" si="2"/>
        <v>8.6</v>
      </c>
      <c r="N11" s="40"/>
      <c r="O11" s="53">
        <f t="shared" si="3"/>
        <v>11.5</v>
      </c>
      <c r="P11" s="54">
        <f t="shared" si="4"/>
        <v>23</v>
      </c>
    </row>
    <row r="12" spans="1:16" s="121" customFormat="1" ht="12.75">
      <c r="A12" s="52">
        <v>7</v>
      </c>
      <c r="B12" s="41" t="s">
        <v>84</v>
      </c>
      <c r="C12" s="41" t="s">
        <v>35</v>
      </c>
      <c r="D12" s="67" t="s">
        <v>86</v>
      </c>
      <c r="E12" s="43">
        <v>2006</v>
      </c>
      <c r="F12" s="40">
        <v>3.1</v>
      </c>
      <c r="G12" s="40">
        <f>AVERAGE(2.2,2.3,2.7,2.4)</f>
        <v>2.4</v>
      </c>
      <c r="H12" s="80">
        <f t="shared" si="0"/>
        <v>7.6</v>
      </c>
      <c r="I12" s="40"/>
      <c r="J12" s="53">
        <f t="shared" si="1"/>
        <v>10.7</v>
      </c>
      <c r="K12" s="40">
        <v>3</v>
      </c>
      <c r="L12" s="40">
        <v>1.75</v>
      </c>
      <c r="M12" s="80">
        <f t="shared" si="2"/>
        <v>8.25</v>
      </c>
      <c r="N12" s="40"/>
      <c r="O12" s="53">
        <f t="shared" si="3"/>
        <v>11.25</v>
      </c>
      <c r="P12" s="54">
        <f t="shared" si="4"/>
        <v>21.95</v>
      </c>
    </row>
    <row r="13" spans="1:16" s="121" customFormat="1" ht="12.75">
      <c r="A13" s="52">
        <v>8</v>
      </c>
      <c r="B13" s="38" t="s">
        <v>167</v>
      </c>
      <c r="C13" s="38" t="s">
        <v>165</v>
      </c>
      <c r="D13" s="64" t="s">
        <v>163</v>
      </c>
      <c r="E13" s="39">
        <v>2006</v>
      </c>
      <c r="F13" s="40">
        <v>3.2</v>
      </c>
      <c r="G13" s="40">
        <f>AVERAGE(2.6,2.6,2.8,2.9)</f>
        <v>2.725</v>
      </c>
      <c r="H13" s="80">
        <f t="shared" si="0"/>
        <v>7.275</v>
      </c>
      <c r="I13" s="40"/>
      <c r="J13" s="53">
        <f t="shared" si="1"/>
        <v>10.475000000000001</v>
      </c>
      <c r="K13" s="40">
        <v>2.9</v>
      </c>
      <c r="L13" s="40">
        <v>2.2</v>
      </c>
      <c r="M13" s="80">
        <f t="shared" si="2"/>
        <v>7.8</v>
      </c>
      <c r="N13" s="40"/>
      <c r="O13" s="53">
        <f t="shared" si="3"/>
        <v>10.7</v>
      </c>
      <c r="P13" s="54">
        <f t="shared" si="4"/>
        <v>21.175</v>
      </c>
    </row>
    <row r="14" spans="1:16" s="121" customFormat="1" ht="12.75">
      <c r="A14" s="52">
        <v>9</v>
      </c>
      <c r="B14" s="38" t="s">
        <v>59</v>
      </c>
      <c r="C14" s="38" t="s">
        <v>55</v>
      </c>
      <c r="D14" s="65" t="s">
        <v>56</v>
      </c>
      <c r="E14" s="39">
        <v>2006</v>
      </c>
      <c r="F14" s="40">
        <v>2.5</v>
      </c>
      <c r="G14" s="40">
        <f>AVERAGE(2.3,2.5,1.9,2.2)</f>
        <v>2.2249999999999996</v>
      </c>
      <c r="H14" s="80">
        <f t="shared" si="0"/>
        <v>7.775</v>
      </c>
      <c r="I14" s="40"/>
      <c r="J14" s="53">
        <f t="shared" si="1"/>
        <v>10.275</v>
      </c>
      <c r="K14" s="40">
        <v>2.8</v>
      </c>
      <c r="L14" s="40">
        <v>1.95</v>
      </c>
      <c r="M14" s="80">
        <f t="shared" si="2"/>
        <v>8.05</v>
      </c>
      <c r="N14" s="40"/>
      <c r="O14" s="53">
        <f t="shared" si="3"/>
        <v>10.850000000000001</v>
      </c>
      <c r="P14" s="54">
        <f t="shared" si="4"/>
        <v>21.125</v>
      </c>
    </row>
    <row r="15" spans="1:16" s="121" customFormat="1" ht="12.75">
      <c r="A15" s="52">
        <v>10</v>
      </c>
      <c r="B15" s="38" t="s">
        <v>117</v>
      </c>
      <c r="C15" s="38" t="s">
        <v>32</v>
      </c>
      <c r="D15" s="64" t="s">
        <v>116</v>
      </c>
      <c r="E15" s="39">
        <v>2006</v>
      </c>
      <c r="F15" s="40">
        <v>2.8</v>
      </c>
      <c r="G15" s="40">
        <f>AVERAGE(1.9,2.3,2.1,2.8)</f>
        <v>2.2749999999999995</v>
      </c>
      <c r="H15" s="80">
        <f t="shared" si="0"/>
        <v>7.7250000000000005</v>
      </c>
      <c r="I15" s="40"/>
      <c r="J15" s="53">
        <f t="shared" si="1"/>
        <v>10.525</v>
      </c>
      <c r="K15" s="40">
        <v>2.9</v>
      </c>
      <c r="L15" s="40">
        <v>2.55</v>
      </c>
      <c r="M15" s="80">
        <f t="shared" si="2"/>
        <v>7.45</v>
      </c>
      <c r="N15" s="40"/>
      <c r="O15" s="53">
        <f t="shared" si="3"/>
        <v>10.35</v>
      </c>
      <c r="P15" s="54">
        <f t="shared" si="4"/>
        <v>20.875</v>
      </c>
    </row>
    <row r="16" spans="1:16" ht="12.75">
      <c r="A16" s="52">
        <v>11</v>
      </c>
      <c r="B16" s="41" t="s">
        <v>150</v>
      </c>
      <c r="C16" s="41" t="s">
        <v>24</v>
      </c>
      <c r="D16" s="66" t="s">
        <v>151</v>
      </c>
      <c r="E16" s="43">
        <v>2006</v>
      </c>
      <c r="F16" s="40">
        <v>2.8</v>
      </c>
      <c r="G16" s="40">
        <f>AVERAGE(2.2,2.1,1.3,2.4)</f>
        <v>2</v>
      </c>
      <c r="H16" s="80">
        <f t="shared" si="0"/>
        <v>8</v>
      </c>
      <c r="I16" s="40"/>
      <c r="J16" s="53">
        <f t="shared" si="1"/>
        <v>10.8</v>
      </c>
      <c r="K16" s="40">
        <v>2</v>
      </c>
      <c r="L16" s="40">
        <v>2.4</v>
      </c>
      <c r="M16" s="80">
        <f t="shared" si="2"/>
        <v>7.6</v>
      </c>
      <c r="N16" s="40"/>
      <c r="O16" s="53">
        <f t="shared" si="3"/>
        <v>9.6</v>
      </c>
      <c r="P16" s="54">
        <f t="shared" si="4"/>
        <v>20.4</v>
      </c>
    </row>
    <row r="17" spans="1:16" ht="12.75">
      <c r="A17" s="52">
        <v>12</v>
      </c>
      <c r="B17" s="38" t="s">
        <v>60</v>
      </c>
      <c r="C17" s="38" t="s">
        <v>55</v>
      </c>
      <c r="D17" s="64" t="s">
        <v>56</v>
      </c>
      <c r="E17" s="39">
        <v>2006</v>
      </c>
      <c r="F17" s="40">
        <v>3</v>
      </c>
      <c r="G17" s="40">
        <f>AVERAGE(3.3,3,3.4,3)</f>
        <v>3.175</v>
      </c>
      <c r="H17" s="80">
        <f t="shared" si="0"/>
        <v>6.825</v>
      </c>
      <c r="I17" s="40"/>
      <c r="J17" s="53">
        <f t="shared" si="1"/>
        <v>9.825</v>
      </c>
      <c r="K17" s="40">
        <v>2.8</v>
      </c>
      <c r="L17" s="40">
        <v>2.45</v>
      </c>
      <c r="M17" s="80">
        <f t="shared" si="2"/>
        <v>7.55</v>
      </c>
      <c r="N17" s="40"/>
      <c r="O17" s="53">
        <f t="shared" si="3"/>
        <v>10.35</v>
      </c>
      <c r="P17" s="54">
        <f t="shared" si="4"/>
        <v>20.174999999999997</v>
      </c>
    </row>
    <row r="18" spans="1:16" ht="12.75">
      <c r="A18" s="52">
        <v>13</v>
      </c>
      <c r="B18" s="38" t="s">
        <v>64</v>
      </c>
      <c r="C18" s="38" t="s">
        <v>62</v>
      </c>
      <c r="D18" s="65" t="s">
        <v>63</v>
      </c>
      <c r="E18" s="39">
        <v>2006</v>
      </c>
      <c r="F18" s="40">
        <v>2.8</v>
      </c>
      <c r="G18" s="40">
        <f>AVERAGE(2.8,3.3,3.3,3.6)</f>
        <v>3.2499999999999996</v>
      </c>
      <c r="H18" s="80">
        <f t="shared" si="0"/>
        <v>6.75</v>
      </c>
      <c r="I18" s="40"/>
      <c r="J18" s="53">
        <f t="shared" si="1"/>
        <v>9.55</v>
      </c>
      <c r="K18" s="40">
        <v>2.9</v>
      </c>
      <c r="L18" s="40">
        <v>2.6</v>
      </c>
      <c r="M18" s="80">
        <f t="shared" si="2"/>
        <v>7.4</v>
      </c>
      <c r="N18" s="40"/>
      <c r="O18" s="53">
        <f t="shared" si="3"/>
        <v>10.3</v>
      </c>
      <c r="P18" s="54">
        <f t="shared" si="4"/>
        <v>19.85</v>
      </c>
    </row>
    <row r="19" spans="1:16" ht="12.75">
      <c r="A19" s="52">
        <v>14</v>
      </c>
      <c r="B19" s="38" t="s">
        <v>31</v>
      </c>
      <c r="C19" s="38" t="s">
        <v>29</v>
      </c>
      <c r="D19" s="64"/>
      <c r="E19" s="39">
        <v>2006</v>
      </c>
      <c r="F19" s="40">
        <v>2.3</v>
      </c>
      <c r="G19" s="40">
        <f>AVERAGE(4.6,4,3.8,3.5)</f>
        <v>3.9749999999999996</v>
      </c>
      <c r="H19" s="80">
        <f t="shared" si="0"/>
        <v>6.025</v>
      </c>
      <c r="I19" s="40"/>
      <c r="J19" s="53">
        <f t="shared" si="1"/>
        <v>8.325</v>
      </c>
      <c r="K19" s="40">
        <v>2.7</v>
      </c>
      <c r="L19" s="40">
        <v>2.15</v>
      </c>
      <c r="M19" s="80">
        <f t="shared" si="2"/>
        <v>7.85</v>
      </c>
      <c r="N19" s="40"/>
      <c r="O19" s="53">
        <f t="shared" si="3"/>
        <v>10.55</v>
      </c>
      <c r="P19" s="54">
        <f t="shared" si="4"/>
        <v>18.875</v>
      </c>
    </row>
    <row r="20" spans="1:16" ht="12.75">
      <c r="A20" s="52">
        <v>15</v>
      </c>
      <c r="B20" s="41" t="s">
        <v>136</v>
      </c>
      <c r="C20" s="41" t="s">
        <v>29</v>
      </c>
      <c r="D20" s="67"/>
      <c r="E20" s="43">
        <v>2006</v>
      </c>
      <c r="F20" s="40">
        <v>2.8</v>
      </c>
      <c r="G20" s="40">
        <f>AVERAGE(4,3.7,3.5,4)</f>
        <v>3.8</v>
      </c>
      <c r="H20" s="80">
        <f t="shared" si="0"/>
        <v>6.2</v>
      </c>
      <c r="I20" s="40"/>
      <c r="J20" s="53">
        <f t="shared" si="1"/>
        <v>9</v>
      </c>
      <c r="K20" s="40">
        <v>2.5</v>
      </c>
      <c r="L20" s="40">
        <v>2.8</v>
      </c>
      <c r="M20" s="80">
        <f t="shared" si="2"/>
        <v>7.2</v>
      </c>
      <c r="N20" s="40"/>
      <c r="O20" s="53">
        <f t="shared" si="3"/>
        <v>9.7</v>
      </c>
      <c r="P20" s="54">
        <f t="shared" si="4"/>
        <v>18.7</v>
      </c>
    </row>
    <row r="21" spans="1:16" ht="12.75">
      <c r="A21" s="52">
        <v>16</v>
      </c>
      <c r="B21" s="38" t="s">
        <v>65</v>
      </c>
      <c r="C21" s="38" t="s">
        <v>62</v>
      </c>
      <c r="D21" s="64" t="s">
        <v>63</v>
      </c>
      <c r="E21" s="39">
        <v>2006</v>
      </c>
      <c r="F21" s="40">
        <v>2.8</v>
      </c>
      <c r="G21" s="40">
        <f>AVERAGE(2.9,2.8,3,2.9)</f>
        <v>2.9</v>
      </c>
      <c r="H21" s="80">
        <f t="shared" si="0"/>
        <v>7.1</v>
      </c>
      <c r="I21" s="40"/>
      <c r="J21" s="53">
        <f t="shared" si="1"/>
        <v>9.899999999999999</v>
      </c>
      <c r="K21" s="40">
        <v>2.1</v>
      </c>
      <c r="L21" s="40">
        <v>3.8</v>
      </c>
      <c r="M21" s="80">
        <f t="shared" si="2"/>
        <v>6.2</v>
      </c>
      <c r="N21" s="40"/>
      <c r="O21" s="53">
        <f t="shared" si="3"/>
        <v>8.3</v>
      </c>
      <c r="P21" s="54">
        <f t="shared" si="4"/>
        <v>18.2</v>
      </c>
    </row>
    <row r="22" spans="1:16" ht="12.75">
      <c r="A22" s="52">
        <v>17</v>
      </c>
      <c r="B22" s="38" t="s">
        <v>183</v>
      </c>
      <c r="C22" s="38" t="s">
        <v>180</v>
      </c>
      <c r="D22" s="64" t="s">
        <v>181</v>
      </c>
      <c r="E22" s="39">
        <v>2006</v>
      </c>
      <c r="F22" s="40">
        <v>2.8</v>
      </c>
      <c r="G22" s="40">
        <f>AVERAGE(3.5,3.1,3,2.8)</f>
        <v>3.0999999999999996</v>
      </c>
      <c r="H22" s="80">
        <f t="shared" si="0"/>
        <v>6.9</v>
      </c>
      <c r="I22" s="40"/>
      <c r="J22" s="53">
        <f t="shared" si="1"/>
        <v>9.7</v>
      </c>
      <c r="K22" s="40">
        <v>2.2</v>
      </c>
      <c r="L22" s="40">
        <v>3.85</v>
      </c>
      <c r="M22" s="80">
        <f t="shared" si="2"/>
        <v>6.15</v>
      </c>
      <c r="N22" s="40"/>
      <c r="O22" s="53">
        <f t="shared" si="3"/>
        <v>8.350000000000001</v>
      </c>
      <c r="P22" s="54">
        <f t="shared" si="4"/>
        <v>18.05</v>
      </c>
    </row>
    <row r="23" spans="1:16" ht="12.75">
      <c r="A23" s="52">
        <v>18</v>
      </c>
      <c r="B23" s="41" t="s">
        <v>83</v>
      </c>
      <c r="C23" s="41" t="s">
        <v>35</v>
      </c>
      <c r="D23" s="66" t="s">
        <v>82</v>
      </c>
      <c r="E23" s="43">
        <v>2006</v>
      </c>
      <c r="F23" s="40">
        <v>2.7</v>
      </c>
      <c r="G23" s="40">
        <f>AVERAGE(3.4,3.4,3.3,3.6)</f>
        <v>3.425</v>
      </c>
      <c r="H23" s="80">
        <f t="shared" si="0"/>
        <v>6.575</v>
      </c>
      <c r="I23" s="40"/>
      <c r="J23" s="53">
        <f t="shared" si="1"/>
        <v>9.275</v>
      </c>
      <c r="K23" s="40">
        <v>2.4</v>
      </c>
      <c r="L23" s="40">
        <v>3.65</v>
      </c>
      <c r="M23" s="80">
        <f t="shared" si="2"/>
        <v>6.35</v>
      </c>
      <c r="N23" s="40"/>
      <c r="O23" s="53">
        <f t="shared" si="3"/>
        <v>8.75</v>
      </c>
      <c r="P23" s="54">
        <f t="shared" si="4"/>
        <v>18.025</v>
      </c>
    </row>
    <row r="24" spans="1:16" ht="12.75">
      <c r="A24" s="52">
        <v>19</v>
      </c>
      <c r="B24" s="38" t="s">
        <v>203</v>
      </c>
      <c r="C24" s="38" t="s">
        <v>187</v>
      </c>
      <c r="D24" s="64" t="s">
        <v>188</v>
      </c>
      <c r="E24" s="39">
        <v>2006</v>
      </c>
      <c r="F24" s="40">
        <v>2.7</v>
      </c>
      <c r="G24" s="40">
        <f>AVERAGE(3.8,3.3,2.9,3.4)</f>
        <v>3.35</v>
      </c>
      <c r="H24" s="80">
        <f t="shared" si="0"/>
        <v>6.65</v>
      </c>
      <c r="I24" s="40"/>
      <c r="J24" s="53">
        <f t="shared" si="1"/>
        <v>9.350000000000001</v>
      </c>
      <c r="K24" s="40">
        <v>2.1</v>
      </c>
      <c r="L24" s="40">
        <v>3.5</v>
      </c>
      <c r="M24" s="80">
        <f t="shared" si="2"/>
        <v>6.5</v>
      </c>
      <c r="N24" s="40"/>
      <c r="O24" s="53">
        <f t="shared" si="3"/>
        <v>8.6</v>
      </c>
      <c r="P24" s="54">
        <f t="shared" si="4"/>
        <v>17.950000000000003</v>
      </c>
    </row>
    <row r="25" spans="1:16" ht="12.75">
      <c r="A25" s="52">
        <v>20</v>
      </c>
      <c r="B25" s="38" t="s">
        <v>213</v>
      </c>
      <c r="C25" s="38" t="s">
        <v>210</v>
      </c>
      <c r="D25" s="64" t="s">
        <v>214</v>
      </c>
      <c r="E25" s="39">
        <v>2006</v>
      </c>
      <c r="F25" s="40">
        <v>2.6</v>
      </c>
      <c r="G25" s="40">
        <f>AVERAGE(2.9,3,2.7,2.6)</f>
        <v>2.8000000000000003</v>
      </c>
      <c r="H25" s="80">
        <f t="shared" si="0"/>
        <v>7.199999999999999</v>
      </c>
      <c r="I25" s="40"/>
      <c r="J25" s="53">
        <f t="shared" si="1"/>
        <v>9.799999999999999</v>
      </c>
      <c r="K25" s="40">
        <v>2</v>
      </c>
      <c r="L25" s="40">
        <v>4.3</v>
      </c>
      <c r="M25" s="80">
        <f t="shared" si="2"/>
        <v>5.7</v>
      </c>
      <c r="N25" s="40"/>
      <c r="O25" s="53">
        <f t="shared" si="3"/>
        <v>7.7</v>
      </c>
      <c r="P25" s="54">
        <f t="shared" si="4"/>
        <v>17.5</v>
      </c>
    </row>
    <row r="26" spans="1:16" ht="12.75">
      <c r="A26" s="52">
        <v>21</v>
      </c>
      <c r="B26" s="38" t="s">
        <v>239</v>
      </c>
      <c r="C26" s="38" t="s">
        <v>62</v>
      </c>
      <c r="D26" s="64" t="s">
        <v>63</v>
      </c>
      <c r="E26" s="39">
        <v>2006</v>
      </c>
      <c r="F26" s="40">
        <v>2.8</v>
      </c>
      <c r="G26" s="40">
        <f>AVERAGE(4.7,4.2,4.5,4.6)</f>
        <v>4.5</v>
      </c>
      <c r="H26" s="80">
        <f t="shared" si="0"/>
        <v>5.5</v>
      </c>
      <c r="I26" s="40"/>
      <c r="J26" s="53">
        <f t="shared" si="1"/>
        <v>8.3</v>
      </c>
      <c r="K26" s="40">
        <v>2.1</v>
      </c>
      <c r="L26" s="40">
        <v>3.95</v>
      </c>
      <c r="M26" s="80">
        <f t="shared" si="2"/>
        <v>6.05</v>
      </c>
      <c r="N26" s="40"/>
      <c r="O26" s="53">
        <f t="shared" si="3"/>
        <v>8.15</v>
      </c>
      <c r="P26" s="54">
        <f t="shared" si="4"/>
        <v>16.450000000000003</v>
      </c>
    </row>
    <row r="27" spans="1:16" ht="12.75">
      <c r="A27" s="52">
        <v>22</v>
      </c>
      <c r="B27" s="38" t="s">
        <v>184</v>
      </c>
      <c r="C27" s="38" t="s">
        <v>180</v>
      </c>
      <c r="D27" s="64" t="s">
        <v>181</v>
      </c>
      <c r="E27" s="39">
        <v>2006</v>
      </c>
      <c r="F27" s="40">
        <v>2.8</v>
      </c>
      <c r="G27" s="40">
        <f>AVERAGE(5.1,4.8,4.8,5.2)</f>
        <v>4.975</v>
      </c>
      <c r="H27" s="80">
        <f t="shared" si="0"/>
        <v>5.025</v>
      </c>
      <c r="I27" s="40"/>
      <c r="J27" s="53">
        <f t="shared" si="1"/>
        <v>7.825</v>
      </c>
      <c r="K27" s="40">
        <v>2.4</v>
      </c>
      <c r="L27" s="40">
        <v>3.9</v>
      </c>
      <c r="M27" s="80">
        <f t="shared" si="2"/>
        <v>6.1</v>
      </c>
      <c r="N27" s="40"/>
      <c r="O27" s="53">
        <f t="shared" si="3"/>
        <v>8.5</v>
      </c>
      <c r="P27" s="54">
        <f t="shared" si="4"/>
        <v>16.325</v>
      </c>
    </row>
    <row r="28" spans="1:16" ht="12.75">
      <c r="A28" s="52">
        <v>23</v>
      </c>
      <c r="B28" s="89" t="s">
        <v>185</v>
      </c>
      <c r="C28" s="38" t="s">
        <v>180</v>
      </c>
      <c r="D28" s="64" t="s">
        <v>181</v>
      </c>
      <c r="E28" s="39">
        <v>2006</v>
      </c>
      <c r="F28" s="40">
        <v>2.2</v>
      </c>
      <c r="G28" s="40">
        <f>AVERAGE(4.3,4.1,4.3,3.4)</f>
        <v>4.0249999999999995</v>
      </c>
      <c r="H28" s="80">
        <f t="shared" si="0"/>
        <v>5.9750000000000005</v>
      </c>
      <c r="I28" s="40"/>
      <c r="J28" s="53">
        <f t="shared" si="1"/>
        <v>8.175</v>
      </c>
      <c r="K28" s="40">
        <v>2.1</v>
      </c>
      <c r="L28" s="40">
        <v>4</v>
      </c>
      <c r="M28" s="80">
        <f t="shared" si="2"/>
        <v>6</v>
      </c>
      <c r="N28" s="40"/>
      <c r="O28" s="53">
        <f t="shared" si="3"/>
        <v>8.1</v>
      </c>
      <c r="P28" s="54">
        <f t="shared" si="4"/>
        <v>16.275</v>
      </c>
    </row>
    <row r="29" spans="1:16" ht="13.5" thickBot="1">
      <c r="A29" s="55">
        <v>24</v>
      </c>
      <c r="B29" s="56" t="s">
        <v>215</v>
      </c>
      <c r="C29" s="56" t="s">
        <v>210</v>
      </c>
      <c r="D29" s="111" t="s">
        <v>214</v>
      </c>
      <c r="E29" s="57">
        <v>2006</v>
      </c>
      <c r="F29" s="95">
        <v>2</v>
      </c>
      <c r="G29" s="95">
        <f>AVERAGE(3.9,4,3.8,3.5)</f>
        <v>3.8</v>
      </c>
      <c r="H29" s="96">
        <f t="shared" si="0"/>
        <v>6.2</v>
      </c>
      <c r="I29" s="95">
        <v>2</v>
      </c>
      <c r="J29" s="97">
        <f t="shared" si="1"/>
        <v>6.199999999999999</v>
      </c>
      <c r="K29" s="95">
        <v>2.7</v>
      </c>
      <c r="L29" s="95">
        <v>4.65</v>
      </c>
      <c r="M29" s="96">
        <f t="shared" si="2"/>
        <v>5.35</v>
      </c>
      <c r="N29" s="95"/>
      <c r="O29" s="97">
        <f t="shared" si="3"/>
        <v>8.05</v>
      </c>
      <c r="P29" s="58">
        <f t="shared" si="4"/>
        <v>14.25</v>
      </c>
    </row>
  </sheetData>
  <sheetProtection selectLockedCells="1" selectUnlockedCells="1"/>
  <autoFilter ref="A5:P17">
    <sortState ref="A6:P29">
      <sortCondition descending="1" sortBy="value" ref="P6:P29"/>
    </sortState>
  </autoFilter>
  <mergeCells count="2">
    <mergeCell ref="F4:J4"/>
    <mergeCell ref="K4:O4"/>
  </mergeCells>
  <printOptions/>
  <pageMargins left="0.27569444444444446" right="0.19652777777777777" top="0.27569444444444446" bottom="0.31527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7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421875" style="21" customWidth="1"/>
    <col min="2" max="2" width="22.00390625" style="21" customWidth="1"/>
    <col min="3" max="3" width="20.8515625" style="21" customWidth="1"/>
    <col min="4" max="4" width="17.00390625" style="21" customWidth="1"/>
    <col min="5" max="5" width="6.57421875" style="49" customWidth="1"/>
    <col min="6" max="9" width="6.00390625" style="21" customWidth="1"/>
    <col min="10" max="10" width="7.7109375" style="21" customWidth="1"/>
    <col min="11" max="14" width="6.00390625" style="21" customWidth="1"/>
    <col min="15" max="15" width="7.7109375" style="21" customWidth="1"/>
    <col min="16" max="16" width="9.7109375" style="21" customWidth="1"/>
    <col min="17" max="16384" width="9.140625" style="21" customWidth="1"/>
  </cols>
  <sheetData>
    <row r="1" spans="1:16" ht="26.25" customHeight="1">
      <c r="A1" s="20" t="s">
        <v>0</v>
      </c>
      <c r="D1" s="20"/>
      <c r="O1" s="20" t="s">
        <v>51</v>
      </c>
      <c r="P1" s="22"/>
    </row>
    <row r="2" spans="2:4" ht="12.75">
      <c r="B2" s="24" t="s">
        <v>50</v>
      </c>
      <c r="D2" s="24" t="s">
        <v>49</v>
      </c>
    </row>
    <row r="3" spans="2:4" ht="13.5" thickBot="1">
      <c r="B3" s="25">
        <v>41762</v>
      </c>
      <c r="D3" s="21" t="s">
        <v>47</v>
      </c>
    </row>
    <row r="4" spans="1:16" ht="18.75" customHeight="1">
      <c r="A4" s="50"/>
      <c r="B4" s="27" t="s">
        <v>25</v>
      </c>
      <c r="C4" s="27" t="s">
        <v>229</v>
      </c>
      <c r="D4" s="28"/>
      <c r="E4" s="51"/>
      <c r="F4" s="134" t="s">
        <v>7</v>
      </c>
      <c r="G4" s="134"/>
      <c r="H4" s="134"/>
      <c r="I4" s="134"/>
      <c r="J4" s="134"/>
      <c r="K4" s="134" t="s">
        <v>6</v>
      </c>
      <c r="L4" s="134"/>
      <c r="M4" s="134"/>
      <c r="N4" s="134"/>
      <c r="O4" s="134"/>
      <c r="P4" s="120"/>
    </row>
    <row r="5" spans="1:16" ht="19.5" thickBot="1">
      <c r="A5" s="91" t="s">
        <v>9</v>
      </c>
      <c r="B5" s="92" t="s">
        <v>10</v>
      </c>
      <c r="C5" s="92" t="s">
        <v>11</v>
      </c>
      <c r="D5" s="92" t="s">
        <v>12</v>
      </c>
      <c r="E5" s="92" t="s">
        <v>13</v>
      </c>
      <c r="F5" s="92" t="s">
        <v>224</v>
      </c>
      <c r="G5" s="92" t="s">
        <v>225</v>
      </c>
      <c r="H5" s="92" t="s">
        <v>230</v>
      </c>
      <c r="I5" s="92" t="s">
        <v>228</v>
      </c>
      <c r="J5" s="93" t="s">
        <v>227</v>
      </c>
      <c r="K5" s="92" t="s">
        <v>224</v>
      </c>
      <c r="L5" s="92" t="s">
        <v>225</v>
      </c>
      <c r="M5" s="92" t="s">
        <v>230</v>
      </c>
      <c r="N5" s="92" t="s">
        <v>228</v>
      </c>
      <c r="O5" s="93" t="s">
        <v>227</v>
      </c>
      <c r="P5" s="117" t="s">
        <v>227</v>
      </c>
    </row>
    <row r="6" spans="1:16" ht="13.5" customHeight="1">
      <c r="A6" s="102">
        <v>1</v>
      </c>
      <c r="B6" s="115" t="s">
        <v>130</v>
      </c>
      <c r="C6" s="115" t="s">
        <v>34</v>
      </c>
      <c r="D6" s="122" t="s">
        <v>129</v>
      </c>
      <c r="E6" s="116">
        <v>2007</v>
      </c>
      <c r="F6" s="106">
        <v>3.6</v>
      </c>
      <c r="G6" s="106">
        <v>1.3</v>
      </c>
      <c r="H6" s="107">
        <f aca="true" t="shared" si="0" ref="H6:H26">IF(ISBLANK(G6),"",10-G6)</f>
        <v>8.7</v>
      </c>
      <c r="I6" s="106"/>
      <c r="J6" s="108">
        <f aca="true" t="shared" si="1" ref="J6:J26">IF(ISBLANK(G6),"",F6+H6-I6)</f>
        <v>12.299999999999999</v>
      </c>
      <c r="K6" s="106">
        <v>3.1</v>
      </c>
      <c r="L6" s="106">
        <v>2.5</v>
      </c>
      <c r="M6" s="107">
        <f aca="true" t="shared" si="2" ref="M6:M26">IF(ISBLANK(L6),"",10-L6)</f>
        <v>7.5</v>
      </c>
      <c r="N6" s="106"/>
      <c r="O6" s="108">
        <f aca="true" t="shared" si="3" ref="O6:O26">IF(ISBLANK(L6),"",K6+M6-N6)</f>
        <v>10.6</v>
      </c>
      <c r="P6" s="109">
        <f aca="true" t="shared" si="4" ref="P6:P26">IF(ISBLANK(G6),"",IF(ISBLANK(L6),"",J6+O6))</f>
        <v>22.9</v>
      </c>
    </row>
    <row r="7" spans="1:16" ht="13.5" customHeight="1">
      <c r="A7" s="52">
        <v>2</v>
      </c>
      <c r="B7" s="38" t="s">
        <v>201</v>
      </c>
      <c r="C7" s="38" t="s">
        <v>194</v>
      </c>
      <c r="D7" s="64" t="s">
        <v>195</v>
      </c>
      <c r="E7" s="39">
        <v>2007</v>
      </c>
      <c r="F7" s="40">
        <v>2.7</v>
      </c>
      <c r="G7" s="40">
        <v>1.5</v>
      </c>
      <c r="H7" s="80">
        <f t="shared" si="0"/>
        <v>8.5</v>
      </c>
      <c r="I7" s="40"/>
      <c r="J7" s="53">
        <f t="shared" si="1"/>
        <v>11.2</v>
      </c>
      <c r="K7" s="40">
        <v>3</v>
      </c>
      <c r="L7" s="40">
        <v>1.7</v>
      </c>
      <c r="M7" s="80">
        <f t="shared" si="2"/>
        <v>8.3</v>
      </c>
      <c r="N7" s="40"/>
      <c r="O7" s="53">
        <f t="shared" si="3"/>
        <v>11.3</v>
      </c>
      <c r="P7" s="54">
        <f t="shared" si="4"/>
        <v>22.5</v>
      </c>
    </row>
    <row r="8" spans="1:16" ht="13.5" customHeight="1">
      <c r="A8" s="52">
        <v>3</v>
      </c>
      <c r="B8" s="38" t="s">
        <v>162</v>
      </c>
      <c r="C8" s="38" t="s">
        <v>19</v>
      </c>
      <c r="D8" s="64" t="s">
        <v>163</v>
      </c>
      <c r="E8" s="39">
        <v>2007</v>
      </c>
      <c r="F8" s="40">
        <v>2.9</v>
      </c>
      <c r="G8" s="40">
        <f>AVERAGE(1.6,1.7,1.9,1.5)</f>
        <v>1.6749999999999998</v>
      </c>
      <c r="H8" s="80">
        <f t="shared" si="0"/>
        <v>8.325</v>
      </c>
      <c r="I8" s="40"/>
      <c r="J8" s="53">
        <f t="shared" si="1"/>
        <v>11.225</v>
      </c>
      <c r="K8" s="40">
        <v>2.9</v>
      </c>
      <c r="L8" s="40">
        <v>1.9</v>
      </c>
      <c r="M8" s="80">
        <f t="shared" si="2"/>
        <v>8.1</v>
      </c>
      <c r="N8" s="40"/>
      <c r="O8" s="53">
        <f t="shared" si="3"/>
        <v>11</v>
      </c>
      <c r="P8" s="54">
        <f t="shared" si="4"/>
        <v>22.225</v>
      </c>
    </row>
    <row r="9" spans="1:16" ht="13.5" customHeight="1">
      <c r="A9" s="52">
        <v>4</v>
      </c>
      <c r="B9" s="38" t="s">
        <v>202</v>
      </c>
      <c r="C9" s="38" t="s">
        <v>194</v>
      </c>
      <c r="D9" s="64" t="s">
        <v>195</v>
      </c>
      <c r="E9" s="39">
        <v>2007</v>
      </c>
      <c r="F9" s="40">
        <v>2.7</v>
      </c>
      <c r="G9" s="40">
        <v>1.4</v>
      </c>
      <c r="H9" s="80">
        <f t="shared" si="0"/>
        <v>8.6</v>
      </c>
      <c r="I9" s="40"/>
      <c r="J9" s="53">
        <f t="shared" si="1"/>
        <v>11.3</v>
      </c>
      <c r="K9" s="40">
        <v>2.9</v>
      </c>
      <c r="L9" s="40">
        <v>2.3</v>
      </c>
      <c r="M9" s="80">
        <f t="shared" si="2"/>
        <v>7.7</v>
      </c>
      <c r="N9" s="40"/>
      <c r="O9" s="53">
        <f t="shared" si="3"/>
        <v>10.6</v>
      </c>
      <c r="P9" s="54">
        <f t="shared" si="4"/>
        <v>21.9</v>
      </c>
    </row>
    <row r="10" spans="1:16" ht="12.75">
      <c r="A10" s="52">
        <v>5</v>
      </c>
      <c r="B10" s="38" t="s">
        <v>164</v>
      </c>
      <c r="C10" s="38" t="s">
        <v>19</v>
      </c>
      <c r="D10" s="65" t="s">
        <v>160</v>
      </c>
      <c r="E10" s="39">
        <v>2007</v>
      </c>
      <c r="F10" s="40">
        <v>2.8</v>
      </c>
      <c r="G10" s="40">
        <f>AVERAGE(1.6,2,1.8,1.6)</f>
        <v>1.75</v>
      </c>
      <c r="H10" s="80">
        <f t="shared" si="0"/>
        <v>8.25</v>
      </c>
      <c r="I10" s="40"/>
      <c r="J10" s="53">
        <f t="shared" si="1"/>
        <v>11.05</v>
      </c>
      <c r="K10" s="40">
        <v>2.6</v>
      </c>
      <c r="L10" s="40">
        <v>2.2</v>
      </c>
      <c r="M10" s="80">
        <f t="shared" si="2"/>
        <v>7.8</v>
      </c>
      <c r="N10" s="40"/>
      <c r="O10" s="53">
        <f t="shared" si="3"/>
        <v>10.4</v>
      </c>
      <c r="P10" s="54">
        <f t="shared" si="4"/>
        <v>21.450000000000003</v>
      </c>
    </row>
    <row r="11" spans="1:16" s="121" customFormat="1" ht="12.75">
      <c r="A11" s="52">
        <v>6</v>
      </c>
      <c r="B11" s="38" t="s">
        <v>128</v>
      </c>
      <c r="C11" s="38" t="s">
        <v>34</v>
      </c>
      <c r="D11" s="64" t="s">
        <v>129</v>
      </c>
      <c r="E11" s="39">
        <v>2007</v>
      </c>
      <c r="F11" s="40">
        <v>3.5</v>
      </c>
      <c r="G11" s="40">
        <v>3.1</v>
      </c>
      <c r="H11" s="80">
        <f t="shared" si="0"/>
        <v>6.9</v>
      </c>
      <c r="I11" s="40"/>
      <c r="J11" s="53">
        <f t="shared" si="1"/>
        <v>10.4</v>
      </c>
      <c r="K11" s="40">
        <v>2.9</v>
      </c>
      <c r="L11" s="40">
        <v>2.15</v>
      </c>
      <c r="M11" s="80">
        <f t="shared" si="2"/>
        <v>7.85</v>
      </c>
      <c r="N11" s="40"/>
      <c r="O11" s="53">
        <f t="shared" si="3"/>
        <v>10.75</v>
      </c>
      <c r="P11" s="54">
        <f t="shared" si="4"/>
        <v>21.15</v>
      </c>
    </row>
    <row r="12" spans="1:16" s="121" customFormat="1" ht="12.75">
      <c r="A12" s="52">
        <v>7</v>
      </c>
      <c r="B12" s="38" t="s">
        <v>134</v>
      </c>
      <c r="C12" s="38" t="s">
        <v>29</v>
      </c>
      <c r="D12" s="64"/>
      <c r="E12" s="39">
        <v>2007</v>
      </c>
      <c r="F12" s="40">
        <v>3</v>
      </c>
      <c r="G12" s="40">
        <f>AVERAGE(1.8,3,2.4,2.6)</f>
        <v>2.4499999999999997</v>
      </c>
      <c r="H12" s="80">
        <f t="shared" si="0"/>
        <v>7.550000000000001</v>
      </c>
      <c r="I12" s="40"/>
      <c r="J12" s="53">
        <f t="shared" si="1"/>
        <v>10.55</v>
      </c>
      <c r="K12" s="40">
        <v>2.8</v>
      </c>
      <c r="L12" s="40">
        <v>2.6</v>
      </c>
      <c r="M12" s="80">
        <f t="shared" si="2"/>
        <v>7.4</v>
      </c>
      <c r="N12" s="40"/>
      <c r="O12" s="53">
        <f t="shared" si="3"/>
        <v>10.2</v>
      </c>
      <c r="P12" s="54">
        <f t="shared" si="4"/>
        <v>20.75</v>
      </c>
    </row>
    <row r="13" spans="1:16" s="121" customFormat="1" ht="12.75">
      <c r="A13" s="52">
        <v>8</v>
      </c>
      <c r="B13" s="41" t="s">
        <v>152</v>
      </c>
      <c r="C13" s="41" t="s">
        <v>24</v>
      </c>
      <c r="D13" s="66" t="s">
        <v>151</v>
      </c>
      <c r="E13" s="43">
        <v>2007</v>
      </c>
      <c r="F13" s="40">
        <v>2.8</v>
      </c>
      <c r="G13" s="40">
        <f>AVERAGE(2.9,2.6,2.4,2.1)</f>
        <v>2.5</v>
      </c>
      <c r="H13" s="80">
        <f t="shared" si="0"/>
        <v>7.5</v>
      </c>
      <c r="I13" s="40"/>
      <c r="J13" s="53">
        <f t="shared" si="1"/>
        <v>10.3</v>
      </c>
      <c r="K13" s="40">
        <v>1.9</v>
      </c>
      <c r="L13" s="40">
        <v>2.5</v>
      </c>
      <c r="M13" s="80">
        <f t="shared" si="2"/>
        <v>7.5</v>
      </c>
      <c r="N13" s="40"/>
      <c r="O13" s="53">
        <f t="shared" si="3"/>
        <v>9.4</v>
      </c>
      <c r="P13" s="54">
        <f t="shared" si="4"/>
        <v>19.700000000000003</v>
      </c>
    </row>
    <row r="14" spans="1:16" s="121" customFormat="1" ht="12.75">
      <c r="A14" s="52">
        <v>9</v>
      </c>
      <c r="B14" s="41" t="s">
        <v>217</v>
      </c>
      <c r="C14" s="41" t="s">
        <v>210</v>
      </c>
      <c r="D14" s="67" t="s">
        <v>214</v>
      </c>
      <c r="E14" s="43">
        <v>2007</v>
      </c>
      <c r="F14" s="40">
        <v>2.6</v>
      </c>
      <c r="G14" s="40">
        <f>AVERAGE(2.8,2.5,2.5,2.4)</f>
        <v>2.55</v>
      </c>
      <c r="H14" s="80">
        <f t="shared" si="0"/>
        <v>7.45</v>
      </c>
      <c r="I14" s="40"/>
      <c r="J14" s="53">
        <f t="shared" si="1"/>
        <v>10.05</v>
      </c>
      <c r="K14" s="40">
        <v>2</v>
      </c>
      <c r="L14" s="40">
        <v>3.7</v>
      </c>
      <c r="M14" s="80">
        <f t="shared" si="2"/>
        <v>6.3</v>
      </c>
      <c r="N14" s="40"/>
      <c r="O14" s="53">
        <f t="shared" si="3"/>
        <v>8.3</v>
      </c>
      <c r="P14" s="54">
        <f t="shared" si="4"/>
        <v>18.35</v>
      </c>
    </row>
    <row r="15" spans="1:16" s="121" customFormat="1" ht="12.75">
      <c r="A15" s="52">
        <v>10</v>
      </c>
      <c r="B15" s="38" t="s">
        <v>219</v>
      </c>
      <c r="C15" s="38" t="s">
        <v>210</v>
      </c>
      <c r="D15" s="64" t="s">
        <v>214</v>
      </c>
      <c r="E15" s="39">
        <v>2007</v>
      </c>
      <c r="F15" s="40">
        <v>2.6</v>
      </c>
      <c r="G15" s="40">
        <f>AVERAGE(3.9,4,4.5,4.3)</f>
        <v>4.175</v>
      </c>
      <c r="H15" s="80">
        <f t="shared" si="0"/>
        <v>5.825</v>
      </c>
      <c r="I15" s="40"/>
      <c r="J15" s="53">
        <f t="shared" si="1"/>
        <v>8.425</v>
      </c>
      <c r="K15" s="40">
        <v>2.7</v>
      </c>
      <c r="L15" s="40">
        <v>3.3</v>
      </c>
      <c r="M15" s="80">
        <f t="shared" si="2"/>
        <v>6.7</v>
      </c>
      <c r="N15" s="40"/>
      <c r="O15" s="53">
        <f t="shared" si="3"/>
        <v>9.4</v>
      </c>
      <c r="P15" s="54">
        <f t="shared" si="4"/>
        <v>17.825000000000003</v>
      </c>
    </row>
    <row r="16" spans="1:16" s="121" customFormat="1" ht="12.75">
      <c r="A16" s="52">
        <v>11</v>
      </c>
      <c r="B16" s="38" t="s">
        <v>75</v>
      </c>
      <c r="C16" s="38" t="s">
        <v>71</v>
      </c>
      <c r="D16" s="65" t="s">
        <v>72</v>
      </c>
      <c r="E16" s="39">
        <v>2007</v>
      </c>
      <c r="F16" s="40">
        <v>2.5</v>
      </c>
      <c r="G16" s="40">
        <f>AVERAGE(3.6,3.7,3.8,3.8)</f>
        <v>3.7250000000000005</v>
      </c>
      <c r="H16" s="80">
        <f t="shared" si="0"/>
        <v>6.2749999999999995</v>
      </c>
      <c r="I16" s="40"/>
      <c r="J16" s="53">
        <f t="shared" si="1"/>
        <v>8.774999999999999</v>
      </c>
      <c r="K16" s="40">
        <v>1.9</v>
      </c>
      <c r="L16" s="40">
        <v>3.05</v>
      </c>
      <c r="M16" s="80">
        <f t="shared" si="2"/>
        <v>6.95</v>
      </c>
      <c r="N16" s="40"/>
      <c r="O16" s="53">
        <f t="shared" si="3"/>
        <v>8.85</v>
      </c>
      <c r="P16" s="54">
        <f t="shared" si="4"/>
        <v>17.625</v>
      </c>
    </row>
    <row r="17" spans="1:16" s="121" customFormat="1" ht="12.75">
      <c r="A17" s="52">
        <v>12</v>
      </c>
      <c r="B17" s="38" t="s">
        <v>131</v>
      </c>
      <c r="C17" s="38" t="s">
        <v>34</v>
      </c>
      <c r="D17" s="64" t="s">
        <v>129</v>
      </c>
      <c r="E17" s="39">
        <v>2007</v>
      </c>
      <c r="F17" s="40">
        <v>2.3</v>
      </c>
      <c r="G17" s="40">
        <v>5.4</v>
      </c>
      <c r="H17" s="80">
        <f t="shared" si="0"/>
        <v>4.6</v>
      </c>
      <c r="I17" s="40"/>
      <c r="J17" s="53">
        <f t="shared" si="1"/>
        <v>6.8999999999999995</v>
      </c>
      <c r="K17" s="40">
        <v>3</v>
      </c>
      <c r="L17" s="40">
        <v>2.35</v>
      </c>
      <c r="M17" s="80">
        <f t="shared" si="2"/>
        <v>7.65</v>
      </c>
      <c r="N17" s="40"/>
      <c r="O17" s="53">
        <f t="shared" si="3"/>
        <v>10.65</v>
      </c>
      <c r="P17" s="54">
        <f t="shared" si="4"/>
        <v>17.55</v>
      </c>
    </row>
    <row r="18" spans="1:16" s="121" customFormat="1" ht="12.75">
      <c r="A18" s="52">
        <v>13</v>
      </c>
      <c r="B18" s="38" t="s">
        <v>115</v>
      </c>
      <c r="C18" s="38" t="s">
        <v>32</v>
      </c>
      <c r="D18" s="64" t="s">
        <v>116</v>
      </c>
      <c r="E18" s="39">
        <v>2007</v>
      </c>
      <c r="F18" s="40">
        <v>2.7</v>
      </c>
      <c r="G18" s="40">
        <f>AVERAGE(3.7,3.2,2.9,3.2)</f>
        <v>3.25</v>
      </c>
      <c r="H18" s="80">
        <f t="shared" si="0"/>
        <v>6.75</v>
      </c>
      <c r="I18" s="40"/>
      <c r="J18" s="53">
        <f t="shared" si="1"/>
        <v>9.45</v>
      </c>
      <c r="K18" s="40">
        <v>1.9</v>
      </c>
      <c r="L18" s="40">
        <v>3.85</v>
      </c>
      <c r="M18" s="80">
        <f t="shared" si="2"/>
        <v>6.15</v>
      </c>
      <c r="N18" s="40"/>
      <c r="O18" s="53">
        <f t="shared" si="3"/>
        <v>8.05</v>
      </c>
      <c r="P18" s="54">
        <f t="shared" si="4"/>
        <v>17.5</v>
      </c>
    </row>
    <row r="19" spans="1:16" s="121" customFormat="1" ht="12.75">
      <c r="A19" s="52">
        <v>14</v>
      </c>
      <c r="B19" s="38" t="s">
        <v>114</v>
      </c>
      <c r="C19" s="38" t="s">
        <v>22</v>
      </c>
      <c r="D19" s="64" t="s">
        <v>37</v>
      </c>
      <c r="E19" s="39">
        <v>2007</v>
      </c>
      <c r="F19" s="40">
        <v>2.7</v>
      </c>
      <c r="G19" s="40">
        <f>AVERAGE(3.3,3.2,3.1,3.6)</f>
        <v>3.3</v>
      </c>
      <c r="H19" s="80">
        <f t="shared" si="0"/>
        <v>6.7</v>
      </c>
      <c r="I19" s="40">
        <v>2</v>
      </c>
      <c r="J19" s="53">
        <f t="shared" si="1"/>
        <v>7.4</v>
      </c>
      <c r="K19" s="40">
        <v>2.6</v>
      </c>
      <c r="L19" s="40">
        <v>2.75</v>
      </c>
      <c r="M19" s="80">
        <f t="shared" si="2"/>
        <v>7.25</v>
      </c>
      <c r="N19" s="40"/>
      <c r="O19" s="53">
        <f t="shared" si="3"/>
        <v>9.85</v>
      </c>
      <c r="P19" s="54">
        <f t="shared" si="4"/>
        <v>17.25</v>
      </c>
    </row>
    <row r="20" spans="1:16" s="121" customFormat="1" ht="12.75">
      <c r="A20" s="52">
        <v>15</v>
      </c>
      <c r="B20" s="41" t="s">
        <v>154</v>
      </c>
      <c r="C20" s="38" t="s">
        <v>24</v>
      </c>
      <c r="D20" s="65" t="s">
        <v>151</v>
      </c>
      <c r="E20" s="39">
        <v>2007</v>
      </c>
      <c r="F20" s="40">
        <v>2.1</v>
      </c>
      <c r="G20" s="40">
        <f>AVERAGE(4.2,3.6,3.5,3.8)</f>
        <v>3.7750000000000004</v>
      </c>
      <c r="H20" s="80">
        <f t="shared" si="0"/>
        <v>6.225</v>
      </c>
      <c r="I20" s="40"/>
      <c r="J20" s="53">
        <f t="shared" si="1"/>
        <v>8.325</v>
      </c>
      <c r="K20" s="40">
        <v>2</v>
      </c>
      <c r="L20" s="40">
        <v>3.7</v>
      </c>
      <c r="M20" s="80">
        <f t="shared" si="2"/>
        <v>6.3</v>
      </c>
      <c r="N20" s="40"/>
      <c r="O20" s="53">
        <f t="shared" si="3"/>
        <v>8.3</v>
      </c>
      <c r="P20" s="54">
        <f t="shared" si="4"/>
        <v>16.625</v>
      </c>
    </row>
    <row r="21" spans="1:16" s="121" customFormat="1" ht="12.75">
      <c r="A21" s="52">
        <v>16</v>
      </c>
      <c r="B21" s="38" t="s">
        <v>74</v>
      </c>
      <c r="C21" s="38" t="s">
        <v>71</v>
      </c>
      <c r="D21" s="64" t="s">
        <v>72</v>
      </c>
      <c r="E21" s="39">
        <v>2007</v>
      </c>
      <c r="F21" s="40">
        <v>2.5</v>
      </c>
      <c r="G21" s="40">
        <f>AVERAGE(5.1,4.5,3.8,4.4)</f>
        <v>4.449999999999999</v>
      </c>
      <c r="H21" s="80">
        <f t="shared" si="0"/>
        <v>5.550000000000001</v>
      </c>
      <c r="I21" s="40"/>
      <c r="J21" s="53">
        <f t="shared" si="1"/>
        <v>8.05</v>
      </c>
      <c r="K21" s="40">
        <v>1.3</v>
      </c>
      <c r="L21" s="40">
        <v>3.45</v>
      </c>
      <c r="M21" s="80">
        <f t="shared" si="2"/>
        <v>6.55</v>
      </c>
      <c r="N21" s="40"/>
      <c r="O21" s="53">
        <f t="shared" si="3"/>
        <v>7.85</v>
      </c>
      <c r="P21" s="54">
        <f t="shared" si="4"/>
        <v>15.9</v>
      </c>
    </row>
    <row r="22" spans="1:16" s="121" customFormat="1" ht="12.75">
      <c r="A22" s="52">
        <v>17</v>
      </c>
      <c r="B22" s="38" t="s">
        <v>216</v>
      </c>
      <c r="C22" s="38" t="s">
        <v>210</v>
      </c>
      <c r="D22" s="65" t="s">
        <v>214</v>
      </c>
      <c r="E22" s="39">
        <v>2007</v>
      </c>
      <c r="F22" s="40">
        <v>2.6</v>
      </c>
      <c r="G22" s="40">
        <f>AVERAGE(4.4,4.5,4.5,4.4)</f>
        <v>4.45</v>
      </c>
      <c r="H22" s="80">
        <f t="shared" si="0"/>
        <v>5.55</v>
      </c>
      <c r="I22" s="40"/>
      <c r="J22" s="53">
        <f t="shared" si="1"/>
        <v>8.15</v>
      </c>
      <c r="K22" s="40">
        <v>2</v>
      </c>
      <c r="L22" s="40">
        <v>4.7</v>
      </c>
      <c r="M22" s="80">
        <f t="shared" si="2"/>
        <v>5.3</v>
      </c>
      <c r="N22" s="40"/>
      <c r="O22" s="53">
        <f t="shared" si="3"/>
        <v>7.3</v>
      </c>
      <c r="P22" s="54">
        <f t="shared" si="4"/>
        <v>15.45</v>
      </c>
    </row>
    <row r="23" spans="1:16" s="121" customFormat="1" ht="12.75">
      <c r="A23" s="52">
        <v>18</v>
      </c>
      <c r="B23" s="38" t="s">
        <v>155</v>
      </c>
      <c r="C23" s="38" t="s">
        <v>24</v>
      </c>
      <c r="D23" s="65" t="s">
        <v>151</v>
      </c>
      <c r="E23" s="39">
        <v>2007</v>
      </c>
      <c r="F23" s="40">
        <v>2.7</v>
      </c>
      <c r="G23" s="40">
        <f>AVERAGE(7.3,7.2,6.9,7.7)</f>
        <v>7.2749999999999995</v>
      </c>
      <c r="H23" s="80">
        <f t="shared" si="0"/>
        <v>2.7250000000000005</v>
      </c>
      <c r="I23" s="40"/>
      <c r="J23" s="53">
        <f t="shared" si="1"/>
        <v>5.425000000000001</v>
      </c>
      <c r="K23" s="40">
        <v>2.9</v>
      </c>
      <c r="L23" s="40">
        <v>4.05</v>
      </c>
      <c r="M23" s="80">
        <f t="shared" si="2"/>
        <v>5.95</v>
      </c>
      <c r="N23" s="40"/>
      <c r="O23" s="53">
        <f t="shared" si="3"/>
        <v>8.85</v>
      </c>
      <c r="P23" s="54">
        <f t="shared" si="4"/>
        <v>14.275</v>
      </c>
    </row>
    <row r="24" spans="1:16" s="121" customFormat="1" ht="12.75">
      <c r="A24" s="52">
        <v>19</v>
      </c>
      <c r="B24" s="38" t="s">
        <v>153</v>
      </c>
      <c r="C24" s="38" t="s">
        <v>24</v>
      </c>
      <c r="D24" s="64" t="s">
        <v>151</v>
      </c>
      <c r="E24" s="39">
        <v>2007</v>
      </c>
      <c r="F24" s="40">
        <v>2.1</v>
      </c>
      <c r="G24" s="40">
        <f>AVERAGE(9,8.6,8.2,8.6)</f>
        <v>8.6</v>
      </c>
      <c r="H24" s="80">
        <f t="shared" si="0"/>
        <v>1.4000000000000004</v>
      </c>
      <c r="I24" s="40"/>
      <c r="J24" s="53">
        <f t="shared" si="1"/>
        <v>3.5000000000000004</v>
      </c>
      <c r="K24" s="40">
        <v>2.9</v>
      </c>
      <c r="L24" s="40">
        <v>3.5</v>
      </c>
      <c r="M24" s="80">
        <f t="shared" si="2"/>
        <v>6.5</v>
      </c>
      <c r="N24" s="40"/>
      <c r="O24" s="53">
        <f t="shared" si="3"/>
        <v>9.4</v>
      </c>
      <c r="P24" s="54">
        <f t="shared" si="4"/>
        <v>12.9</v>
      </c>
    </row>
    <row r="25" spans="1:16" ht="12.75">
      <c r="A25" s="52">
        <v>20</v>
      </c>
      <c r="B25" s="89" t="s">
        <v>182</v>
      </c>
      <c r="C25" s="38" t="s">
        <v>180</v>
      </c>
      <c r="D25" s="64" t="s">
        <v>181</v>
      </c>
      <c r="E25" s="39">
        <v>2007</v>
      </c>
      <c r="F25" s="40">
        <v>1.9</v>
      </c>
      <c r="G25" s="40">
        <f>AVERAGE(5.6,5.3,5,5.3)</f>
        <v>5.3</v>
      </c>
      <c r="H25" s="80">
        <f t="shared" si="0"/>
        <v>4.7</v>
      </c>
      <c r="I25" s="40">
        <v>2</v>
      </c>
      <c r="J25" s="53">
        <f t="shared" si="1"/>
        <v>4.6</v>
      </c>
      <c r="K25" s="40">
        <v>2.3</v>
      </c>
      <c r="L25" s="40">
        <v>4.6</v>
      </c>
      <c r="M25" s="80">
        <f t="shared" si="2"/>
        <v>5.4</v>
      </c>
      <c r="N25" s="40"/>
      <c r="O25" s="53">
        <f t="shared" si="3"/>
        <v>7.7</v>
      </c>
      <c r="P25" s="54">
        <f t="shared" si="4"/>
        <v>12.3</v>
      </c>
    </row>
    <row r="26" spans="1:16" ht="13.5" thickBot="1">
      <c r="A26" s="55">
        <v>21</v>
      </c>
      <c r="B26" s="56" t="s">
        <v>218</v>
      </c>
      <c r="C26" s="56" t="s">
        <v>210</v>
      </c>
      <c r="D26" s="90" t="s">
        <v>214</v>
      </c>
      <c r="E26" s="57">
        <v>2007</v>
      </c>
      <c r="F26" s="95">
        <v>1.9</v>
      </c>
      <c r="G26" s="95">
        <f>AVERAGE(2.7,2.5,2.7,2.6)</f>
        <v>2.625</v>
      </c>
      <c r="H26" s="96">
        <f t="shared" si="0"/>
        <v>7.375</v>
      </c>
      <c r="I26" s="95">
        <v>4</v>
      </c>
      <c r="J26" s="97">
        <f t="shared" si="1"/>
        <v>5.275</v>
      </c>
      <c r="K26" s="95">
        <v>2</v>
      </c>
      <c r="L26" s="95">
        <v>5.25</v>
      </c>
      <c r="M26" s="96">
        <f t="shared" si="2"/>
        <v>4.75</v>
      </c>
      <c r="N26" s="95"/>
      <c r="O26" s="97">
        <f t="shared" si="3"/>
        <v>6.75</v>
      </c>
      <c r="P26" s="58">
        <f t="shared" si="4"/>
        <v>12.025</v>
      </c>
    </row>
    <row r="27" spans="1:5" ht="12.75">
      <c r="A27" s="59"/>
      <c r="B27" s="60"/>
      <c r="C27" s="60"/>
      <c r="D27" s="60"/>
      <c r="E27" s="61"/>
    </row>
  </sheetData>
  <sheetProtection selectLockedCells="1" selectUnlockedCells="1"/>
  <autoFilter ref="A5:P25">
    <sortState ref="A6:P27">
      <sortCondition descending="1" sortBy="value" ref="P6:P27"/>
    </sortState>
  </autoFilter>
  <mergeCells count="2">
    <mergeCell ref="F4:J4"/>
    <mergeCell ref="K4:O4"/>
  </mergeCells>
  <printOptions/>
  <pageMargins left="0.27569444444444446" right="0.19652777777777777" top="0.27569444444444446" bottom="0.315277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24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421875" style="21" customWidth="1"/>
    <col min="2" max="2" width="22.00390625" style="21" customWidth="1"/>
    <col min="3" max="3" width="21.00390625" style="21" bestFit="1" customWidth="1"/>
    <col min="4" max="4" width="17.00390625" style="21" customWidth="1"/>
    <col min="5" max="5" width="5.28125" style="49" customWidth="1"/>
    <col min="6" max="9" width="6.140625" style="21" customWidth="1"/>
    <col min="10" max="10" width="7.7109375" style="21" customWidth="1"/>
    <col min="11" max="14" width="6.140625" style="21" customWidth="1"/>
    <col min="15" max="15" width="7.7109375" style="21" customWidth="1"/>
    <col min="16" max="16" width="9.7109375" style="21" customWidth="1"/>
    <col min="17" max="16384" width="9.140625" style="21" customWidth="1"/>
  </cols>
  <sheetData>
    <row r="1" spans="1:16" ht="26.25" customHeight="1">
      <c r="A1" s="19"/>
      <c r="B1" s="20" t="s">
        <v>44</v>
      </c>
      <c r="O1" s="20" t="s">
        <v>51</v>
      </c>
      <c r="P1" s="22"/>
    </row>
    <row r="2" spans="2:12" ht="15.75">
      <c r="B2" s="23" t="s">
        <v>27</v>
      </c>
      <c r="D2" s="24" t="s">
        <v>49</v>
      </c>
      <c r="L2" s="19"/>
    </row>
    <row r="3" spans="2:4" ht="13.5" thickBot="1">
      <c r="B3" s="25">
        <v>41762</v>
      </c>
      <c r="D3" s="21" t="s">
        <v>47</v>
      </c>
    </row>
    <row r="4" spans="1:16" ht="18.75" customHeight="1">
      <c r="A4" s="26"/>
      <c r="B4" s="27" t="s">
        <v>28</v>
      </c>
      <c r="C4" s="27" t="s">
        <v>52</v>
      </c>
      <c r="D4" s="28"/>
      <c r="E4" s="51"/>
      <c r="F4" s="134" t="s">
        <v>26</v>
      </c>
      <c r="G4" s="134"/>
      <c r="H4" s="134"/>
      <c r="I4" s="134"/>
      <c r="J4" s="134"/>
      <c r="K4" s="134" t="s">
        <v>6</v>
      </c>
      <c r="L4" s="134"/>
      <c r="M4" s="134"/>
      <c r="N4" s="134"/>
      <c r="O4" s="134"/>
      <c r="P4" s="120"/>
    </row>
    <row r="5" spans="1:16" ht="19.5" thickBot="1">
      <c r="A5" s="98" t="s">
        <v>9</v>
      </c>
      <c r="B5" s="99" t="s">
        <v>10</v>
      </c>
      <c r="C5" s="99" t="s">
        <v>11</v>
      </c>
      <c r="D5" s="99" t="s">
        <v>12</v>
      </c>
      <c r="E5" s="99" t="s">
        <v>13</v>
      </c>
      <c r="F5" s="99" t="s">
        <v>224</v>
      </c>
      <c r="G5" s="99" t="s">
        <v>225</v>
      </c>
      <c r="H5" s="99" t="s">
        <v>230</v>
      </c>
      <c r="I5" s="100" t="s">
        <v>228</v>
      </c>
      <c r="J5" s="101" t="s">
        <v>227</v>
      </c>
      <c r="K5" s="99" t="s">
        <v>224</v>
      </c>
      <c r="L5" s="99" t="s">
        <v>225</v>
      </c>
      <c r="M5" s="99" t="s">
        <v>226</v>
      </c>
      <c r="N5" s="99" t="s">
        <v>228</v>
      </c>
      <c r="O5" s="101" t="s">
        <v>227</v>
      </c>
      <c r="P5" s="117" t="s">
        <v>227</v>
      </c>
    </row>
    <row r="6" spans="1:16" ht="12.75">
      <c r="A6" s="102">
        <v>1</v>
      </c>
      <c r="B6" s="103" t="s">
        <v>144</v>
      </c>
      <c r="C6" s="103" t="s">
        <v>142</v>
      </c>
      <c r="D6" s="104" t="s">
        <v>143</v>
      </c>
      <c r="E6" s="105">
        <v>2008</v>
      </c>
      <c r="F6" s="106">
        <v>2.5</v>
      </c>
      <c r="G6" s="106">
        <v>0.95</v>
      </c>
      <c r="H6" s="107">
        <f aca="true" t="shared" si="0" ref="H6:H24">IF(ISBLANK(G6),"",10-G6)</f>
        <v>9.05</v>
      </c>
      <c r="I6" s="106"/>
      <c r="J6" s="108">
        <f aca="true" t="shared" si="1" ref="J6:J24">IF(ISBLANK(G6),"",F6+H6-I6)</f>
        <v>11.55</v>
      </c>
      <c r="K6" s="106">
        <v>2.5</v>
      </c>
      <c r="L6" s="106">
        <v>1.15</v>
      </c>
      <c r="M6" s="107">
        <f aca="true" t="shared" si="2" ref="M6:M24">IF(ISBLANK(L6),"",10-L6)</f>
        <v>8.85</v>
      </c>
      <c r="N6" s="106"/>
      <c r="O6" s="108">
        <f aca="true" t="shared" si="3" ref="O6:O24">IF(ISBLANK(L6),"",K6+M6-N6)</f>
        <v>11.35</v>
      </c>
      <c r="P6" s="109">
        <f aca="true" t="shared" si="4" ref="P6:P24">IF(ISBLANK(G6),"",IF(ISBLANK(L6),"",J6+O6))</f>
        <v>22.9</v>
      </c>
    </row>
    <row r="7" spans="1:16" ht="12.75">
      <c r="A7" s="34">
        <v>2</v>
      </c>
      <c r="B7" s="41" t="s">
        <v>161</v>
      </c>
      <c r="C7" s="41" t="s">
        <v>19</v>
      </c>
      <c r="D7" s="66" t="s">
        <v>160</v>
      </c>
      <c r="E7" s="43">
        <v>2008</v>
      </c>
      <c r="F7" s="40">
        <v>2.5</v>
      </c>
      <c r="G7" s="40">
        <v>1.1</v>
      </c>
      <c r="H7" s="80">
        <f t="shared" si="0"/>
        <v>8.9</v>
      </c>
      <c r="I7" s="40"/>
      <c r="J7" s="36">
        <f t="shared" si="1"/>
        <v>11.4</v>
      </c>
      <c r="K7" s="40">
        <v>2.5</v>
      </c>
      <c r="L7" s="40">
        <v>1.15</v>
      </c>
      <c r="M7" s="79">
        <f t="shared" si="2"/>
        <v>8.85</v>
      </c>
      <c r="N7" s="40"/>
      <c r="O7" s="36">
        <f t="shared" si="3"/>
        <v>11.35</v>
      </c>
      <c r="P7" s="37">
        <f t="shared" si="4"/>
        <v>22.75</v>
      </c>
    </row>
    <row r="8" spans="1:16" ht="12.75">
      <c r="A8" s="34">
        <v>3</v>
      </c>
      <c r="B8" s="38" t="s">
        <v>198</v>
      </c>
      <c r="C8" s="38" t="s">
        <v>192</v>
      </c>
      <c r="D8" s="64" t="s">
        <v>190</v>
      </c>
      <c r="E8" s="39">
        <v>2008</v>
      </c>
      <c r="F8" s="40">
        <v>2.5</v>
      </c>
      <c r="G8" s="40">
        <v>1.4</v>
      </c>
      <c r="H8" s="80">
        <f t="shared" si="0"/>
        <v>8.6</v>
      </c>
      <c r="I8" s="40"/>
      <c r="J8" s="36">
        <f t="shared" si="1"/>
        <v>11.1</v>
      </c>
      <c r="K8" s="40">
        <v>2.5</v>
      </c>
      <c r="L8" s="40">
        <v>1.5</v>
      </c>
      <c r="M8" s="79">
        <f t="shared" si="2"/>
        <v>8.5</v>
      </c>
      <c r="N8" s="40"/>
      <c r="O8" s="36">
        <f t="shared" si="3"/>
        <v>11</v>
      </c>
      <c r="P8" s="37">
        <f t="shared" si="4"/>
        <v>22.1</v>
      </c>
    </row>
    <row r="9" spans="1:16" ht="12.75">
      <c r="A9" s="34">
        <v>4</v>
      </c>
      <c r="B9" s="38" t="s">
        <v>196</v>
      </c>
      <c r="C9" s="38" t="s">
        <v>194</v>
      </c>
      <c r="D9" s="64" t="s">
        <v>195</v>
      </c>
      <c r="E9" s="39">
        <v>2008</v>
      </c>
      <c r="F9" s="40">
        <v>2.5</v>
      </c>
      <c r="G9" s="40">
        <v>1.35</v>
      </c>
      <c r="H9" s="80">
        <f t="shared" si="0"/>
        <v>8.65</v>
      </c>
      <c r="I9" s="40"/>
      <c r="J9" s="36">
        <f t="shared" si="1"/>
        <v>11.15</v>
      </c>
      <c r="K9" s="40">
        <v>2.5</v>
      </c>
      <c r="L9" s="40">
        <v>1.6</v>
      </c>
      <c r="M9" s="79">
        <f t="shared" si="2"/>
        <v>8.4</v>
      </c>
      <c r="N9" s="40"/>
      <c r="O9" s="36">
        <f t="shared" si="3"/>
        <v>10.9</v>
      </c>
      <c r="P9" s="37">
        <f t="shared" si="4"/>
        <v>22.05</v>
      </c>
    </row>
    <row r="10" spans="1:16" ht="12.75">
      <c r="A10" s="34">
        <v>5</v>
      </c>
      <c r="B10" s="41" t="s">
        <v>159</v>
      </c>
      <c r="C10" s="41" t="s">
        <v>19</v>
      </c>
      <c r="D10" s="66" t="s">
        <v>160</v>
      </c>
      <c r="E10" s="43">
        <v>2008</v>
      </c>
      <c r="F10" s="40">
        <v>2.5</v>
      </c>
      <c r="G10" s="40">
        <v>1.6</v>
      </c>
      <c r="H10" s="80">
        <f t="shared" si="0"/>
        <v>8.4</v>
      </c>
      <c r="I10" s="40"/>
      <c r="J10" s="36">
        <f t="shared" si="1"/>
        <v>10.9</v>
      </c>
      <c r="K10" s="40">
        <v>2.5</v>
      </c>
      <c r="L10" s="40">
        <v>1.8</v>
      </c>
      <c r="M10" s="79">
        <f t="shared" si="2"/>
        <v>8.2</v>
      </c>
      <c r="N10" s="40"/>
      <c r="O10" s="36">
        <f t="shared" si="3"/>
        <v>10.7</v>
      </c>
      <c r="P10" s="37">
        <f t="shared" si="4"/>
        <v>21.6</v>
      </c>
    </row>
    <row r="11" spans="1:16" ht="12.75">
      <c r="A11" s="34">
        <v>6</v>
      </c>
      <c r="B11" s="38" t="s">
        <v>199</v>
      </c>
      <c r="C11" s="38" t="s">
        <v>192</v>
      </c>
      <c r="D11" s="64" t="s">
        <v>190</v>
      </c>
      <c r="E11" s="39">
        <v>2008</v>
      </c>
      <c r="F11" s="40">
        <v>2.5</v>
      </c>
      <c r="G11" s="40">
        <v>1.4</v>
      </c>
      <c r="H11" s="80">
        <f t="shared" si="0"/>
        <v>8.6</v>
      </c>
      <c r="I11" s="40"/>
      <c r="J11" s="36">
        <f t="shared" si="1"/>
        <v>11.1</v>
      </c>
      <c r="K11" s="40">
        <v>2.5</v>
      </c>
      <c r="L11" s="40">
        <v>2</v>
      </c>
      <c r="M11" s="79">
        <f t="shared" si="2"/>
        <v>8</v>
      </c>
      <c r="N11" s="40"/>
      <c r="O11" s="36">
        <f t="shared" si="3"/>
        <v>10.5</v>
      </c>
      <c r="P11" s="37">
        <f t="shared" si="4"/>
        <v>21.6</v>
      </c>
    </row>
    <row r="12" spans="1:16" ht="12.75">
      <c r="A12" s="34">
        <v>7</v>
      </c>
      <c r="B12" s="38" t="s">
        <v>61</v>
      </c>
      <c r="C12" s="38" t="s">
        <v>55</v>
      </c>
      <c r="D12" s="64" t="s">
        <v>56</v>
      </c>
      <c r="E12" s="39">
        <v>2008</v>
      </c>
      <c r="F12" s="40">
        <v>2.5</v>
      </c>
      <c r="G12" s="40">
        <v>1.8</v>
      </c>
      <c r="H12" s="80">
        <f t="shared" si="0"/>
        <v>8.2</v>
      </c>
      <c r="I12" s="40"/>
      <c r="J12" s="36">
        <f t="shared" si="1"/>
        <v>10.7</v>
      </c>
      <c r="K12" s="40">
        <v>2.5</v>
      </c>
      <c r="L12" s="40">
        <v>2.15</v>
      </c>
      <c r="M12" s="79">
        <f t="shared" si="2"/>
        <v>7.85</v>
      </c>
      <c r="N12" s="40"/>
      <c r="O12" s="36">
        <f t="shared" si="3"/>
        <v>10.35</v>
      </c>
      <c r="P12" s="37">
        <f t="shared" si="4"/>
        <v>21.049999999999997</v>
      </c>
    </row>
    <row r="13" spans="1:16" ht="12.75">
      <c r="A13" s="34">
        <v>8</v>
      </c>
      <c r="B13" s="38" t="s">
        <v>193</v>
      </c>
      <c r="C13" s="38" t="s">
        <v>194</v>
      </c>
      <c r="D13" s="64" t="s">
        <v>195</v>
      </c>
      <c r="E13" s="39">
        <v>2008</v>
      </c>
      <c r="F13" s="40">
        <v>2.5</v>
      </c>
      <c r="G13" s="40">
        <v>1.45</v>
      </c>
      <c r="H13" s="80">
        <f t="shared" si="0"/>
        <v>8.55</v>
      </c>
      <c r="I13" s="40"/>
      <c r="J13" s="36">
        <f t="shared" si="1"/>
        <v>11.05</v>
      </c>
      <c r="K13" s="40">
        <v>2.5</v>
      </c>
      <c r="L13" s="40">
        <v>2.85</v>
      </c>
      <c r="M13" s="79">
        <f t="shared" si="2"/>
        <v>7.15</v>
      </c>
      <c r="N13" s="40"/>
      <c r="O13" s="36">
        <f t="shared" si="3"/>
        <v>9.65</v>
      </c>
      <c r="P13" s="37">
        <f t="shared" si="4"/>
        <v>20.700000000000003</v>
      </c>
    </row>
    <row r="14" spans="1:16" ht="12.75">
      <c r="A14" s="34">
        <v>9</v>
      </c>
      <c r="B14" s="38" t="s">
        <v>126</v>
      </c>
      <c r="C14" s="38" t="s">
        <v>101</v>
      </c>
      <c r="D14" s="64" t="s">
        <v>125</v>
      </c>
      <c r="E14" s="39">
        <v>2008</v>
      </c>
      <c r="F14" s="40">
        <v>2.5</v>
      </c>
      <c r="G14" s="40">
        <v>2.35</v>
      </c>
      <c r="H14" s="80">
        <f t="shared" si="0"/>
        <v>7.65</v>
      </c>
      <c r="I14" s="40"/>
      <c r="J14" s="36">
        <f t="shared" si="1"/>
        <v>10.15</v>
      </c>
      <c r="K14" s="40">
        <v>2.5</v>
      </c>
      <c r="L14" s="40">
        <v>2.25</v>
      </c>
      <c r="M14" s="79">
        <f t="shared" si="2"/>
        <v>7.75</v>
      </c>
      <c r="N14" s="40"/>
      <c r="O14" s="36">
        <f t="shared" si="3"/>
        <v>10.25</v>
      </c>
      <c r="P14" s="37">
        <f t="shared" si="4"/>
        <v>20.4</v>
      </c>
    </row>
    <row r="15" spans="1:17" ht="12.75">
      <c r="A15" s="34">
        <v>10</v>
      </c>
      <c r="B15" s="41" t="s">
        <v>197</v>
      </c>
      <c r="C15" s="41" t="s">
        <v>194</v>
      </c>
      <c r="D15" s="66" t="s">
        <v>195</v>
      </c>
      <c r="E15" s="43">
        <v>2008</v>
      </c>
      <c r="F15" s="40">
        <v>2.5</v>
      </c>
      <c r="G15" s="40">
        <v>2.3</v>
      </c>
      <c r="H15" s="80">
        <f t="shared" si="0"/>
        <v>7.7</v>
      </c>
      <c r="I15" s="40"/>
      <c r="J15" s="36">
        <f t="shared" si="1"/>
        <v>10.2</v>
      </c>
      <c r="K15" s="40">
        <v>2.5</v>
      </c>
      <c r="L15" s="40">
        <v>2.3</v>
      </c>
      <c r="M15" s="79">
        <f t="shared" si="2"/>
        <v>7.7</v>
      </c>
      <c r="N15" s="40"/>
      <c r="O15" s="36">
        <f t="shared" si="3"/>
        <v>10.2</v>
      </c>
      <c r="P15" s="37">
        <f t="shared" si="4"/>
        <v>20.4</v>
      </c>
      <c r="Q15" s="45"/>
    </row>
    <row r="16" spans="1:17" ht="12.75">
      <c r="A16" s="34">
        <v>11</v>
      </c>
      <c r="B16" s="38" t="s">
        <v>133</v>
      </c>
      <c r="C16" s="41" t="s">
        <v>29</v>
      </c>
      <c r="D16" s="64" t="s">
        <v>30</v>
      </c>
      <c r="E16" s="39">
        <v>2008</v>
      </c>
      <c r="F16" s="40">
        <v>2.5</v>
      </c>
      <c r="G16" s="40">
        <v>2.25</v>
      </c>
      <c r="H16" s="80">
        <f t="shared" si="0"/>
        <v>7.75</v>
      </c>
      <c r="I16" s="40"/>
      <c r="J16" s="36">
        <f t="shared" si="1"/>
        <v>10.25</v>
      </c>
      <c r="K16" s="40">
        <v>2.5</v>
      </c>
      <c r="L16" s="40">
        <v>2.7</v>
      </c>
      <c r="M16" s="79">
        <f t="shared" si="2"/>
        <v>7.3</v>
      </c>
      <c r="N16" s="40"/>
      <c r="O16" s="36">
        <f t="shared" si="3"/>
        <v>9.8</v>
      </c>
      <c r="P16" s="37">
        <f t="shared" si="4"/>
        <v>20.05</v>
      </c>
      <c r="Q16" s="60"/>
    </row>
    <row r="17" spans="1:16" ht="12.75">
      <c r="A17" s="34">
        <v>12</v>
      </c>
      <c r="B17" s="38" t="s">
        <v>127</v>
      </c>
      <c r="C17" s="38" t="s">
        <v>101</v>
      </c>
      <c r="D17" s="64" t="s">
        <v>125</v>
      </c>
      <c r="E17" s="39">
        <v>2008</v>
      </c>
      <c r="F17" s="40">
        <v>2.5</v>
      </c>
      <c r="G17" s="40">
        <v>2.8</v>
      </c>
      <c r="H17" s="80">
        <f t="shared" si="0"/>
        <v>7.2</v>
      </c>
      <c r="I17" s="40"/>
      <c r="J17" s="36">
        <f t="shared" si="1"/>
        <v>9.7</v>
      </c>
      <c r="K17" s="40">
        <v>2.5</v>
      </c>
      <c r="L17" s="40">
        <v>2.4</v>
      </c>
      <c r="M17" s="79">
        <f t="shared" si="2"/>
        <v>7.6</v>
      </c>
      <c r="N17" s="40"/>
      <c r="O17" s="36">
        <f t="shared" si="3"/>
        <v>10.1</v>
      </c>
      <c r="P17" s="37">
        <f t="shared" si="4"/>
        <v>19.799999999999997</v>
      </c>
    </row>
    <row r="18" spans="1:16" ht="12.75">
      <c r="A18" s="34">
        <v>13</v>
      </c>
      <c r="B18" s="83" t="s">
        <v>70</v>
      </c>
      <c r="C18" s="83" t="s">
        <v>46</v>
      </c>
      <c r="D18" s="77" t="s">
        <v>72</v>
      </c>
      <c r="E18" s="84">
        <v>2008</v>
      </c>
      <c r="F18" s="40">
        <v>2.5</v>
      </c>
      <c r="G18" s="40">
        <v>2.4</v>
      </c>
      <c r="H18" s="80">
        <f t="shared" si="0"/>
        <v>7.6</v>
      </c>
      <c r="I18" s="40"/>
      <c r="J18" s="36">
        <f t="shared" si="1"/>
        <v>10.1</v>
      </c>
      <c r="K18" s="40">
        <v>2</v>
      </c>
      <c r="L18" s="40">
        <v>2.4</v>
      </c>
      <c r="M18" s="79">
        <f t="shared" si="2"/>
        <v>7.6</v>
      </c>
      <c r="N18" s="40"/>
      <c r="O18" s="36">
        <f t="shared" si="3"/>
        <v>9.6</v>
      </c>
      <c r="P18" s="37">
        <f t="shared" si="4"/>
        <v>19.7</v>
      </c>
    </row>
    <row r="19" spans="1:16" ht="12.75">
      <c r="A19" s="34">
        <v>14</v>
      </c>
      <c r="B19" s="38" t="s">
        <v>73</v>
      </c>
      <c r="C19" s="38" t="s">
        <v>46</v>
      </c>
      <c r="D19" s="64" t="s">
        <v>72</v>
      </c>
      <c r="E19" s="39">
        <v>2008</v>
      </c>
      <c r="F19" s="40">
        <v>2.5</v>
      </c>
      <c r="G19" s="40">
        <v>3</v>
      </c>
      <c r="H19" s="80">
        <f t="shared" si="0"/>
        <v>7</v>
      </c>
      <c r="I19" s="40"/>
      <c r="J19" s="36">
        <f t="shared" si="1"/>
        <v>9.5</v>
      </c>
      <c r="K19" s="40">
        <v>2</v>
      </c>
      <c r="L19" s="40">
        <v>2.1</v>
      </c>
      <c r="M19" s="79">
        <f t="shared" si="2"/>
        <v>7.9</v>
      </c>
      <c r="N19" s="40"/>
      <c r="O19" s="36">
        <f t="shared" si="3"/>
        <v>9.9</v>
      </c>
      <c r="P19" s="37">
        <f t="shared" si="4"/>
        <v>19.4</v>
      </c>
    </row>
    <row r="20" spans="1:16" ht="12.75">
      <c r="A20" s="34">
        <v>15</v>
      </c>
      <c r="B20" s="38" t="s">
        <v>81</v>
      </c>
      <c r="C20" s="38" t="s">
        <v>35</v>
      </c>
      <c r="D20" s="64" t="s">
        <v>82</v>
      </c>
      <c r="E20" s="39">
        <v>2008</v>
      </c>
      <c r="F20" s="48">
        <v>2.5</v>
      </c>
      <c r="G20" s="48">
        <v>2.4</v>
      </c>
      <c r="H20" s="80">
        <f t="shared" si="0"/>
        <v>7.6</v>
      </c>
      <c r="I20" s="40"/>
      <c r="J20" s="36">
        <f t="shared" si="1"/>
        <v>10.1</v>
      </c>
      <c r="K20" s="48">
        <v>2.5</v>
      </c>
      <c r="L20" s="48">
        <v>3.3</v>
      </c>
      <c r="M20" s="79">
        <f t="shared" si="2"/>
        <v>6.7</v>
      </c>
      <c r="N20" s="48"/>
      <c r="O20" s="36">
        <f t="shared" si="3"/>
        <v>9.2</v>
      </c>
      <c r="P20" s="37">
        <f t="shared" si="4"/>
        <v>19.299999999999997</v>
      </c>
    </row>
    <row r="21" spans="1:16" ht="12.75">
      <c r="A21" s="34">
        <v>16</v>
      </c>
      <c r="B21" s="41" t="s">
        <v>132</v>
      </c>
      <c r="C21" s="41" t="s">
        <v>29</v>
      </c>
      <c r="D21" s="66" t="s">
        <v>30</v>
      </c>
      <c r="E21" s="43">
        <v>2008</v>
      </c>
      <c r="F21" s="40">
        <v>2.5</v>
      </c>
      <c r="G21" s="40">
        <v>3.1</v>
      </c>
      <c r="H21" s="80">
        <f t="shared" si="0"/>
        <v>6.9</v>
      </c>
      <c r="I21" s="40"/>
      <c r="J21" s="36">
        <f t="shared" si="1"/>
        <v>9.4</v>
      </c>
      <c r="K21" s="40">
        <v>2.5</v>
      </c>
      <c r="L21" s="40">
        <v>2.65</v>
      </c>
      <c r="M21" s="79">
        <f t="shared" si="2"/>
        <v>7.35</v>
      </c>
      <c r="N21" s="40"/>
      <c r="O21" s="36">
        <f t="shared" si="3"/>
        <v>9.85</v>
      </c>
      <c r="P21" s="37">
        <f t="shared" si="4"/>
        <v>19.25</v>
      </c>
    </row>
    <row r="22" spans="1:16" ht="12.75">
      <c r="A22" s="34">
        <v>17</v>
      </c>
      <c r="B22" s="38" t="s">
        <v>124</v>
      </c>
      <c r="C22" s="38" t="s">
        <v>101</v>
      </c>
      <c r="D22" s="64" t="s">
        <v>125</v>
      </c>
      <c r="E22" s="39">
        <v>2008</v>
      </c>
      <c r="F22" s="40">
        <v>2.5</v>
      </c>
      <c r="G22" s="40">
        <v>4.2</v>
      </c>
      <c r="H22" s="80">
        <f t="shared" si="0"/>
        <v>5.8</v>
      </c>
      <c r="I22" s="40"/>
      <c r="J22" s="36">
        <f t="shared" si="1"/>
        <v>8.3</v>
      </c>
      <c r="K22" s="40">
        <v>2.5</v>
      </c>
      <c r="L22" s="40">
        <v>2.55</v>
      </c>
      <c r="M22" s="79">
        <f t="shared" si="2"/>
        <v>7.45</v>
      </c>
      <c r="N22" s="40"/>
      <c r="O22" s="36">
        <f t="shared" si="3"/>
        <v>9.95</v>
      </c>
      <c r="P22" s="37">
        <f t="shared" si="4"/>
        <v>18.25</v>
      </c>
    </row>
    <row r="23" spans="1:16" ht="12.75">
      <c r="A23" s="34">
        <v>18</v>
      </c>
      <c r="B23" s="41" t="s">
        <v>200</v>
      </c>
      <c r="C23" s="41" t="s">
        <v>192</v>
      </c>
      <c r="D23" s="66" t="s">
        <v>190</v>
      </c>
      <c r="E23" s="43">
        <v>2008</v>
      </c>
      <c r="F23" s="40">
        <v>1</v>
      </c>
      <c r="G23" s="40">
        <v>2</v>
      </c>
      <c r="H23" s="80">
        <f t="shared" si="0"/>
        <v>8</v>
      </c>
      <c r="I23" s="40"/>
      <c r="J23" s="36">
        <f t="shared" si="1"/>
        <v>9</v>
      </c>
      <c r="K23" s="40">
        <v>2</v>
      </c>
      <c r="L23" s="40">
        <v>3.05</v>
      </c>
      <c r="M23" s="79">
        <f t="shared" si="2"/>
        <v>6.95</v>
      </c>
      <c r="N23" s="40"/>
      <c r="O23" s="36">
        <f t="shared" si="3"/>
        <v>8.95</v>
      </c>
      <c r="P23" s="37">
        <f t="shared" si="4"/>
        <v>17.95</v>
      </c>
    </row>
    <row r="24" spans="1:16" ht="13.5" thickBot="1">
      <c r="A24" s="110">
        <v>19</v>
      </c>
      <c r="B24" s="56" t="s">
        <v>221</v>
      </c>
      <c r="C24" s="56" t="s">
        <v>192</v>
      </c>
      <c r="D24" s="111" t="s">
        <v>222</v>
      </c>
      <c r="E24" s="57">
        <v>2009</v>
      </c>
      <c r="F24" s="95">
        <v>1</v>
      </c>
      <c r="G24" s="95">
        <v>3.25</v>
      </c>
      <c r="H24" s="96">
        <f t="shared" si="0"/>
        <v>6.75</v>
      </c>
      <c r="I24" s="95"/>
      <c r="J24" s="112">
        <f t="shared" si="1"/>
        <v>7.75</v>
      </c>
      <c r="K24" s="95">
        <v>1.5</v>
      </c>
      <c r="L24" s="95">
        <v>2.85</v>
      </c>
      <c r="M24" s="113">
        <f t="shared" si="2"/>
        <v>7.15</v>
      </c>
      <c r="N24" s="95"/>
      <c r="O24" s="112">
        <f t="shared" si="3"/>
        <v>8.65</v>
      </c>
      <c r="P24" s="114">
        <f t="shared" si="4"/>
        <v>16.4</v>
      </c>
    </row>
  </sheetData>
  <sheetProtection selectLockedCells="1" selectUnlockedCells="1"/>
  <autoFilter ref="A5:P15">
    <sortState ref="A6:P24">
      <sortCondition descending="1" sortBy="value" ref="P6:P24"/>
    </sortState>
  </autoFilter>
  <mergeCells count="2">
    <mergeCell ref="F4:J4"/>
    <mergeCell ref="K4:O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4.421875" style="21" customWidth="1"/>
    <col min="2" max="2" width="26.7109375" style="21" bestFit="1" customWidth="1"/>
    <col min="3" max="3" width="18.8515625" style="21" bestFit="1" customWidth="1"/>
    <col min="4" max="4" width="17.00390625" style="21" customWidth="1"/>
    <col min="5" max="5" width="5.28125" style="49" customWidth="1"/>
    <col min="6" max="9" width="6.140625" style="21" customWidth="1"/>
    <col min="10" max="10" width="7.7109375" style="21" customWidth="1"/>
    <col min="11" max="14" width="6.140625" style="21" customWidth="1"/>
    <col min="15" max="15" width="7.7109375" style="21" customWidth="1"/>
    <col min="16" max="16" width="9.7109375" style="21" customWidth="1"/>
    <col min="17" max="16384" width="9.140625" style="21" customWidth="1"/>
  </cols>
  <sheetData>
    <row r="1" spans="1:16" ht="26.25" customHeight="1">
      <c r="A1" s="19"/>
      <c r="B1" s="20" t="s">
        <v>44</v>
      </c>
      <c r="O1" s="20" t="s">
        <v>51</v>
      </c>
      <c r="P1" s="22"/>
    </row>
    <row r="2" spans="2:12" ht="15.75">
      <c r="B2" s="23" t="s">
        <v>27</v>
      </c>
      <c r="D2" s="24" t="s">
        <v>49</v>
      </c>
      <c r="L2" s="19"/>
    </row>
    <row r="3" spans="2:4" ht="13.5" thickBot="1">
      <c r="B3" s="25">
        <v>41762</v>
      </c>
      <c r="D3" s="21" t="s">
        <v>47</v>
      </c>
    </row>
    <row r="4" spans="1:16" ht="18.75" customHeight="1">
      <c r="A4" s="26"/>
      <c r="B4" s="27" t="s">
        <v>237</v>
      </c>
      <c r="C4" s="27" t="s">
        <v>238</v>
      </c>
      <c r="D4" s="28"/>
      <c r="E4" s="51"/>
      <c r="F4" s="134" t="s">
        <v>241</v>
      </c>
      <c r="G4" s="134"/>
      <c r="H4" s="134"/>
      <c r="I4" s="134"/>
      <c r="J4" s="134"/>
      <c r="K4" s="134" t="s">
        <v>6</v>
      </c>
      <c r="L4" s="134"/>
      <c r="M4" s="134"/>
      <c r="N4" s="134"/>
      <c r="O4" s="135"/>
      <c r="P4" s="118"/>
    </row>
    <row r="5" spans="1:16" ht="19.5" thickBot="1">
      <c r="A5" s="30" t="s">
        <v>9</v>
      </c>
      <c r="B5" s="31" t="s">
        <v>10</v>
      </c>
      <c r="C5" s="31" t="s">
        <v>11</v>
      </c>
      <c r="D5" s="31" t="s">
        <v>12</v>
      </c>
      <c r="E5" s="31" t="s">
        <v>13</v>
      </c>
      <c r="F5" s="31" t="s">
        <v>224</v>
      </c>
      <c r="G5" s="31" t="s">
        <v>225</v>
      </c>
      <c r="H5" s="31" t="s">
        <v>230</v>
      </c>
      <c r="I5" s="32" t="s">
        <v>228</v>
      </c>
      <c r="J5" s="33" t="s">
        <v>227</v>
      </c>
      <c r="K5" s="31" t="s">
        <v>224</v>
      </c>
      <c r="L5" s="31" t="s">
        <v>225</v>
      </c>
      <c r="M5" s="31" t="s">
        <v>226</v>
      </c>
      <c r="N5" s="31" t="s">
        <v>228</v>
      </c>
      <c r="O5" s="33" t="s">
        <v>227</v>
      </c>
      <c r="P5" s="119" t="s">
        <v>227</v>
      </c>
    </row>
    <row r="6" spans="1:16" ht="13.5" customHeight="1">
      <c r="A6" s="102">
        <v>1</v>
      </c>
      <c r="B6" s="115" t="s">
        <v>189</v>
      </c>
      <c r="C6" s="115" t="s">
        <v>192</v>
      </c>
      <c r="D6" s="115" t="s">
        <v>190</v>
      </c>
      <c r="E6" s="116">
        <v>2007</v>
      </c>
      <c r="F6" s="106">
        <v>2.5</v>
      </c>
      <c r="G6" s="106">
        <v>0.7</v>
      </c>
      <c r="H6" s="107">
        <f aca="true" t="shared" si="0" ref="H6:H15">IF(ISBLANK(G6),"",10-G6)</f>
        <v>9.3</v>
      </c>
      <c r="I6" s="106"/>
      <c r="J6" s="108">
        <f aca="true" t="shared" si="1" ref="J6:J15">IF(ISBLANK(G6),"",F6+H6-I6)</f>
        <v>11.8</v>
      </c>
      <c r="K6" s="106">
        <v>2.5</v>
      </c>
      <c r="L6" s="106">
        <v>1.7</v>
      </c>
      <c r="M6" s="107">
        <f aca="true" t="shared" si="2" ref="M6:M15">IF(ISBLANK(L6),"",10-L6)</f>
        <v>8.3</v>
      </c>
      <c r="N6" s="106"/>
      <c r="O6" s="108">
        <f aca="true" t="shared" si="3" ref="O6:O15">IF(ISBLANK(L6),"",K6+M6-N6)</f>
        <v>10.8</v>
      </c>
      <c r="P6" s="109">
        <f aca="true" t="shared" si="4" ref="P6:P15">IF(ISBLANK(G6),"",IF(ISBLANK(L6),"",J6+O6))</f>
        <v>22.6</v>
      </c>
    </row>
    <row r="7" spans="1:16" ht="12.75">
      <c r="A7" s="34">
        <v>2</v>
      </c>
      <c r="B7" s="38" t="s">
        <v>69</v>
      </c>
      <c r="C7" s="38" t="s">
        <v>46</v>
      </c>
      <c r="D7" s="38" t="s">
        <v>67</v>
      </c>
      <c r="E7" s="39">
        <v>2008</v>
      </c>
      <c r="F7" s="40">
        <v>2.5</v>
      </c>
      <c r="G7" s="40">
        <v>1.3</v>
      </c>
      <c r="H7" s="80">
        <f t="shared" si="0"/>
        <v>8.7</v>
      </c>
      <c r="I7" s="40"/>
      <c r="J7" s="36">
        <f t="shared" si="1"/>
        <v>11.2</v>
      </c>
      <c r="K7" s="40">
        <v>2.5</v>
      </c>
      <c r="L7" s="40">
        <v>1.2</v>
      </c>
      <c r="M7" s="79">
        <f t="shared" si="2"/>
        <v>8.8</v>
      </c>
      <c r="N7" s="40"/>
      <c r="O7" s="36">
        <f t="shared" si="3"/>
        <v>11.3</v>
      </c>
      <c r="P7" s="37">
        <f t="shared" si="4"/>
        <v>22.5</v>
      </c>
    </row>
    <row r="8" spans="1:16" ht="12.75">
      <c r="A8" s="34">
        <v>3</v>
      </c>
      <c r="B8" s="38" t="s">
        <v>68</v>
      </c>
      <c r="C8" s="38" t="s">
        <v>46</v>
      </c>
      <c r="D8" s="38" t="s">
        <v>67</v>
      </c>
      <c r="E8" s="39">
        <v>2008</v>
      </c>
      <c r="F8" s="40">
        <v>2.5</v>
      </c>
      <c r="G8" s="40">
        <v>1.2</v>
      </c>
      <c r="H8" s="80">
        <f t="shared" si="0"/>
        <v>8.8</v>
      </c>
      <c r="I8" s="40"/>
      <c r="J8" s="36">
        <f t="shared" si="1"/>
        <v>11.3</v>
      </c>
      <c r="K8" s="40">
        <v>2.5</v>
      </c>
      <c r="L8" s="40">
        <v>1.6</v>
      </c>
      <c r="M8" s="79">
        <f t="shared" si="2"/>
        <v>8.4</v>
      </c>
      <c r="N8" s="40"/>
      <c r="O8" s="36">
        <f t="shared" si="3"/>
        <v>10.9</v>
      </c>
      <c r="P8" s="37">
        <f t="shared" si="4"/>
        <v>22.200000000000003</v>
      </c>
    </row>
    <row r="9" spans="1:16" ht="12.75">
      <c r="A9" s="34">
        <v>4</v>
      </c>
      <c r="B9" s="41" t="s">
        <v>103</v>
      </c>
      <c r="C9" s="41" t="s">
        <v>101</v>
      </c>
      <c r="D9" s="41" t="s">
        <v>102</v>
      </c>
      <c r="E9" s="43">
        <v>2007</v>
      </c>
      <c r="F9" s="40">
        <v>2.5</v>
      </c>
      <c r="G9" s="40">
        <v>1</v>
      </c>
      <c r="H9" s="80">
        <f t="shared" si="0"/>
        <v>9</v>
      </c>
      <c r="I9" s="40"/>
      <c r="J9" s="36">
        <f t="shared" si="1"/>
        <v>11.5</v>
      </c>
      <c r="K9" s="40">
        <v>2.5</v>
      </c>
      <c r="L9" s="40">
        <v>1.85</v>
      </c>
      <c r="M9" s="79">
        <f t="shared" si="2"/>
        <v>8.15</v>
      </c>
      <c r="N9" s="40"/>
      <c r="O9" s="36">
        <f t="shared" si="3"/>
        <v>10.65</v>
      </c>
      <c r="P9" s="37">
        <f t="shared" si="4"/>
        <v>22.15</v>
      </c>
    </row>
    <row r="10" spans="1:16" ht="12.75">
      <c r="A10" s="34">
        <v>5</v>
      </c>
      <c r="B10" s="46" t="s">
        <v>100</v>
      </c>
      <c r="C10" s="46" t="s">
        <v>101</v>
      </c>
      <c r="D10" s="46" t="s">
        <v>102</v>
      </c>
      <c r="E10" s="47">
        <v>2007</v>
      </c>
      <c r="F10" s="40">
        <v>2.5</v>
      </c>
      <c r="G10" s="40">
        <v>1.5</v>
      </c>
      <c r="H10" s="80">
        <f t="shared" si="0"/>
        <v>8.5</v>
      </c>
      <c r="I10" s="40"/>
      <c r="J10" s="36">
        <f t="shared" si="1"/>
        <v>11</v>
      </c>
      <c r="K10" s="40">
        <v>2.5</v>
      </c>
      <c r="L10" s="40">
        <v>1.9</v>
      </c>
      <c r="M10" s="79">
        <f t="shared" si="2"/>
        <v>8.1</v>
      </c>
      <c r="N10" s="40"/>
      <c r="O10" s="36">
        <f t="shared" si="3"/>
        <v>10.6</v>
      </c>
      <c r="P10" s="37">
        <f t="shared" si="4"/>
        <v>21.6</v>
      </c>
    </row>
    <row r="11" spans="1:16" ht="12.75">
      <c r="A11" s="34">
        <v>6</v>
      </c>
      <c r="B11" s="38" t="s">
        <v>191</v>
      </c>
      <c r="C11" s="38" t="s">
        <v>192</v>
      </c>
      <c r="D11" s="38" t="s">
        <v>190</v>
      </c>
      <c r="E11" s="39">
        <v>2007</v>
      </c>
      <c r="F11" s="40">
        <v>2.5</v>
      </c>
      <c r="G11" s="40">
        <v>1.2</v>
      </c>
      <c r="H11" s="80">
        <f t="shared" si="0"/>
        <v>8.8</v>
      </c>
      <c r="I11" s="40"/>
      <c r="J11" s="36">
        <f t="shared" si="1"/>
        <v>11.3</v>
      </c>
      <c r="K11" s="40">
        <v>2.5</v>
      </c>
      <c r="L11" s="40">
        <v>2.4</v>
      </c>
      <c r="M11" s="79">
        <f t="shared" si="2"/>
        <v>7.6</v>
      </c>
      <c r="N11" s="40"/>
      <c r="O11" s="36">
        <f t="shared" si="3"/>
        <v>10.1</v>
      </c>
      <c r="P11" s="37">
        <f t="shared" si="4"/>
        <v>21.4</v>
      </c>
    </row>
    <row r="12" spans="1:16" ht="12.75">
      <c r="A12" s="34">
        <v>7</v>
      </c>
      <c r="B12" s="38" t="s">
        <v>45</v>
      </c>
      <c r="C12" s="38" t="s">
        <v>46</v>
      </c>
      <c r="D12" s="38" t="s">
        <v>67</v>
      </c>
      <c r="E12" s="39">
        <v>2009</v>
      </c>
      <c r="F12" s="40">
        <v>2.5</v>
      </c>
      <c r="G12" s="40">
        <v>1.65</v>
      </c>
      <c r="H12" s="80">
        <f t="shared" si="0"/>
        <v>8.35</v>
      </c>
      <c r="I12" s="40"/>
      <c r="J12" s="36">
        <f t="shared" si="1"/>
        <v>10.85</v>
      </c>
      <c r="K12" s="40">
        <v>2.5</v>
      </c>
      <c r="L12" s="40">
        <v>2.2</v>
      </c>
      <c r="M12" s="79">
        <f t="shared" si="2"/>
        <v>7.8</v>
      </c>
      <c r="N12" s="40"/>
      <c r="O12" s="36">
        <f t="shared" si="3"/>
        <v>10.3</v>
      </c>
      <c r="P12" s="37">
        <f t="shared" si="4"/>
        <v>21.15</v>
      </c>
    </row>
    <row r="13" spans="1:16" ht="12.75">
      <c r="A13" s="34">
        <v>8</v>
      </c>
      <c r="B13" s="41" t="s">
        <v>66</v>
      </c>
      <c r="C13" s="41" t="s">
        <v>46</v>
      </c>
      <c r="D13" s="41" t="s">
        <v>67</v>
      </c>
      <c r="E13" s="43">
        <v>2007</v>
      </c>
      <c r="F13" s="40">
        <v>2.5</v>
      </c>
      <c r="G13" s="40">
        <v>1.5</v>
      </c>
      <c r="H13" s="80">
        <f t="shared" si="0"/>
        <v>8.5</v>
      </c>
      <c r="I13" s="40"/>
      <c r="J13" s="36">
        <f t="shared" si="1"/>
        <v>11</v>
      </c>
      <c r="K13" s="40">
        <v>2.5</v>
      </c>
      <c r="L13" s="40">
        <v>3</v>
      </c>
      <c r="M13" s="79">
        <f t="shared" si="2"/>
        <v>7</v>
      </c>
      <c r="N13" s="40"/>
      <c r="O13" s="36">
        <f t="shared" si="3"/>
        <v>9.5</v>
      </c>
      <c r="P13" s="37">
        <f t="shared" si="4"/>
        <v>20.5</v>
      </c>
    </row>
    <row r="14" spans="1:16" ht="12.75">
      <c r="A14" s="34">
        <v>9</v>
      </c>
      <c r="B14" s="38" t="s">
        <v>186</v>
      </c>
      <c r="C14" s="38" t="s">
        <v>187</v>
      </c>
      <c r="D14" s="38" t="s">
        <v>188</v>
      </c>
      <c r="E14" s="39">
        <v>2007</v>
      </c>
      <c r="F14" s="40">
        <v>2.5</v>
      </c>
      <c r="G14" s="40">
        <v>1.7</v>
      </c>
      <c r="H14" s="80">
        <f t="shared" si="0"/>
        <v>8.3</v>
      </c>
      <c r="I14" s="40"/>
      <c r="J14" s="36">
        <f t="shared" si="1"/>
        <v>10.8</v>
      </c>
      <c r="K14" s="40">
        <v>2.5</v>
      </c>
      <c r="L14" s="40">
        <v>3.45</v>
      </c>
      <c r="M14" s="79">
        <f t="shared" si="2"/>
        <v>6.55</v>
      </c>
      <c r="N14" s="40"/>
      <c r="O14" s="36">
        <f t="shared" si="3"/>
        <v>9.05</v>
      </c>
      <c r="P14" s="37">
        <f t="shared" si="4"/>
        <v>19.85</v>
      </c>
    </row>
    <row r="15" spans="1:16" ht="13.5" thickBot="1">
      <c r="A15" s="110">
        <v>10</v>
      </c>
      <c r="B15" s="56" t="s">
        <v>240</v>
      </c>
      <c r="C15" s="56" t="s">
        <v>46</v>
      </c>
      <c r="D15" s="56" t="s">
        <v>67</v>
      </c>
      <c r="E15" s="57">
        <v>2009</v>
      </c>
      <c r="F15" s="95">
        <v>2.5</v>
      </c>
      <c r="G15" s="95">
        <v>2.5</v>
      </c>
      <c r="H15" s="96">
        <f t="shared" si="0"/>
        <v>7.5</v>
      </c>
      <c r="I15" s="95"/>
      <c r="J15" s="112">
        <f t="shared" si="1"/>
        <v>10</v>
      </c>
      <c r="K15" s="95">
        <v>1.5</v>
      </c>
      <c r="L15" s="95">
        <v>2.1</v>
      </c>
      <c r="M15" s="113">
        <f t="shared" si="2"/>
        <v>7.9</v>
      </c>
      <c r="N15" s="95"/>
      <c r="O15" s="112">
        <f t="shared" si="3"/>
        <v>9.4</v>
      </c>
      <c r="P15" s="114">
        <f t="shared" si="4"/>
        <v>19.4</v>
      </c>
    </row>
  </sheetData>
  <sheetProtection/>
  <autoFilter ref="A5:P5">
    <sortState ref="A6:P15">
      <sortCondition descending="1" sortBy="value" ref="P6:P15"/>
    </sortState>
  </autoFilter>
  <mergeCells count="2">
    <mergeCell ref="F4:J4"/>
    <mergeCell ref="K4:O4"/>
  </mergeCells>
  <printOptions/>
  <pageMargins left="0" right="0" top="0.5118110236220472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 </cp:lastModifiedBy>
  <cp:lastPrinted>2014-05-04T05:50:01Z</cp:lastPrinted>
  <dcterms:created xsi:type="dcterms:W3CDTF">2012-05-12T05:53:01Z</dcterms:created>
  <dcterms:modified xsi:type="dcterms:W3CDTF">2014-05-04T07:47:11Z</dcterms:modified>
  <cp:category/>
  <cp:version/>
  <cp:contentType/>
  <cp:contentStatus/>
</cp:coreProperties>
</file>