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7"/>
  <workbookPr/>
  <mc:AlternateContent xmlns:mc="http://schemas.openxmlformats.org/markup-compatibility/2006">
    <mc:Choice Requires="x15">
      <x15ac:absPath xmlns:x15ac="http://schemas.microsoft.com/office/spreadsheetml/2010/11/ac" url="C:\Users\jikopac\Desktop\"/>
    </mc:Choice>
  </mc:AlternateContent>
  <bookViews>
    <workbookView xWindow="0" yWindow="1860" windowWidth="16380" windowHeight="8130" tabRatio="603" firstSheet="6" activeTab="6"/>
  </bookViews>
  <sheets>
    <sheet name="2003 a st." sheetId="2" r:id="rId1"/>
    <sheet name="2004 - 2005" sheetId="3" r:id="rId2"/>
    <sheet name="2006 - 2007" sheetId="4" r:id="rId3"/>
    <sheet name="2008" sheetId="9" r:id="rId4"/>
    <sheet name="2009" sheetId="5" r:id="rId5"/>
    <sheet name="MIMI" sheetId="6" r:id="rId6"/>
    <sheet name="Chlapci" sheetId="10" r:id="rId7"/>
  </sheets>
  <definedNames>
    <definedName name="_xlnm._FilterDatabase" localSheetId="0" hidden="1">'2003 a st.'!$A$5:$P$5</definedName>
    <definedName name="_xlnm._FilterDatabase" localSheetId="1" hidden="1">'2004 - 2005'!$A$5:$P$5</definedName>
    <definedName name="_xlnm._FilterDatabase" localSheetId="2" hidden="1">'2006 - 2007'!$A$5:$P$5</definedName>
    <definedName name="_xlnm._FilterDatabase" localSheetId="3" hidden="1">'2008'!$A$5:$P$21</definedName>
    <definedName name="_xlnm._FilterDatabase" localSheetId="4" hidden="1">'2009'!$A$5:$P$18</definedName>
    <definedName name="_xlnm._FilterDatabase" localSheetId="6" hidden="1">Chlapci!$A$5:$I$5</definedName>
    <definedName name="_xlnm._FilterDatabase" localSheetId="5" hidden="1">MIMI!$A$5:$P$10</definedName>
    <definedName name="Excel_BuiltIn__FilterDatabase" localSheetId="3">'2008'!$A$5:$P$8</definedName>
    <definedName name="Excel_BuiltIn__FilterDatabase" localSheetId="4">'2009'!$A$5:$P$8</definedName>
    <definedName name="Excel_BuiltIn__FilterDatabase" localSheetId="5">MIMI!$A$5:$P$5</definedName>
  </definedNames>
  <calcPr calcId="171026"/>
</workbook>
</file>

<file path=xl/calcChain.xml><?xml version="1.0" encoding="utf-8"?>
<calcChain xmlns="http://schemas.openxmlformats.org/spreadsheetml/2006/main">
  <c r="L16" i="3" l="1"/>
  <c r="L15" i="3"/>
  <c r="L14" i="3"/>
  <c r="L9" i="3"/>
  <c r="L8" i="3"/>
  <c r="L10" i="3"/>
  <c r="L9" i="2"/>
  <c r="L6" i="2"/>
  <c r="L8" i="2"/>
  <c r="L7" i="2"/>
  <c r="L12" i="2"/>
  <c r="G14" i="2"/>
  <c r="G13" i="2"/>
  <c r="G10" i="2"/>
  <c r="G11" i="2"/>
  <c r="G7" i="3"/>
  <c r="G12" i="3"/>
  <c r="G11" i="3"/>
  <c r="G13" i="3"/>
  <c r="G6" i="3"/>
  <c r="G8" i="3"/>
  <c r="G10" i="3"/>
  <c r="G16" i="3"/>
  <c r="G15" i="3"/>
  <c r="G14" i="3"/>
  <c r="G9" i="3"/>
  <c r="G9" i="2"/>
  <c r="G6" i="2"/>
  <c r="G8" i="2"/>
  <c r="G7" i="2"/>
  <c r="G12" i="2"/>
  <c r="L14" i="2"/>
  <c r="L13" i="2"/>
  <c r="L10" i="2"/>
  <c r="L11" i="2"/>
  <c r="L7" i="3"/>
  <c r="L12" i="3"/>
  <c r="L11" i="3"/>
  <c r="L13" i="3"/>
  <c r="L6" i="3"/>
  <c r="L24" i="9"/>
  <c r="L17" i="9"/>
  <c r="L9" i="9"/>
  <c r="L6" i="9"/>
  <c r="L8" i="9"/>
  <c r="L10" i="9"/>
  <c r="G7" i="4"/>
  <c r="G15" i="4"/>
  <c r="G19" i="4"/>
  <c r="G20" i="4"/>
  <c r="G13" i="4"/>
  <c r="G14" i="4"/>
  <c r="L9" i="4"/>
  <c r="L25" i="4"/>
  <c r="L24" i="4"/>
  <c r="L16" i="4"/>
  <c r="G24" i="9"/>
  <c r="G17" i="9"/>
  <c r="G9" i="9"/>
  <c r="G6" i="9"/>
  <c r="G8" i="9"/>
  <c r="G10" i="9"/>
  <c r="G23" i="9"/>
  <c r="G19" i="9"/>
  <c r="G7" i="9"/>
  <c r="L7" i="4"/>
  <c r="L15" i="4"/>
  <c r="L19" i="4"/>
  <c r="L20" i="4"/>
  <c r="L13" i="4"/>
  <c r="L14" i="4"/>
  <c r="G9" i="4"/>
  <c r="G25" i="4"/>
  <c r="G24" i="4"/>
  <c r="G16" i="4"/>
  <c r="L23" i="9"/>
  <c r="L19" i="9"/>
  <c r="L7" i="9"/>
  <c r="L6" i="4"/>
  <c r="L10" i="4"/>
  <c r="L8" i="4"/>
  <c r="L17" i="4"/>
  <c r="G21" i="4"/>
  <c r="G26" i="4"/>
  <c r="G22" i="4"/>
  <c r="G23" i="4"/>
  <c r="G11" i="4"/>
  <c r="G12" i="4"/>
  <c r="G18" i="4"/>
  <c r="L14" i="9"/>
  <c r="L18" i="9"/>
  <c r="L11" i="9"/>
  <c r="L15" i="9"/>
  <c r="L12" i="9"/>
  <c r="G21" i="9"/>
  <c r="G22" i="9"/>
  <c r="G13" i="9"/>
  <c r="G20" i="9"/>
  <c r="G16" i="9"/>
  <c r="L21" i="4"/>
  <c r="L26" i="4"/>
  <c r="L22" i="4"/>
  <c r="L23" i="4"/>
  <c r="L11" i="4"/>
  <c r="L12" i="4"/>
  <c r="L18" i="4"/>
  <c r="L21" i="9"/>
  <c r="L22" i="9"/>
  <c r="L13" i="9"/>
  <c r="L20" i="9"/>
  <c r="L16" i="9"/>
  <c r="G6" i="4"/>
  <c r="G10" i="4"/>
  <c r="G8" i="4"/>
  <c r="G17" i="4"/>
  <c r="G14" i="9"/>
  <c r="G18" i="9"/>
  <c r="G11" i="9"/>
  <c r="G15" i="9"/>
  <c r="G12" i="9"/>
  <c r="H26" i="10"/>
  <c r="H28" i="10"/>
  <c r="H27" i="10"/>
  <c r="F14" i="10"/>
  <c r="F13" i="10"/>
  <c r="F10" i="10"/>
  <c r="F15" i="10"/>
  <c r="G7" i="10"/>
  <c r="F6" i="10"/>
  <c r="F11" i="10"/>
  <c r="F8" i="10"/>
  <c r="F7" i="10"/>
  <c r="F9" i="10"/>
  <c r="F12" i="10"/>
  <c r="H29" i="10"/>
  <c r="H24" i="10"/>
  <c r="H25" i="10"/>
  <c r="F29" i="10"/>
  <c r="F24" i="10"/>
  <c r="F25" i="10"/>
  <c r="F26" i="10"/>
  <c r="F28" i="10"/>
  <c r="F27" i="10"/>
  <c r="G14" i="10"/>
  <c r="G16" i="10"/>
  <c r="G13" i="10"/>
  <c r="G10" i="10"/>
  <c r="G15" i="10"/>
  <c r="G6" i="10"/>
  <c r="G11" i="10"/>
  <c r="G8" i="10"/>
  <c r="G9" i="10"/>
  <c r="G12" i="10"/>
  <c r="H6" i="10"/>
  <c r="H11" i="10"/>
  <c r="H8" i="10"/>
  <c r="H7" i="10"/>
  <c r="H9" i="10"/>
  <c r="H12" i="10"/>
  <c r="H14" i="10"/>
  <c r="H16" i="10"/>
  <c r="H13" i="10"/>
  <c r="H10" i="10"/>
  <c r="H15" i="10"/>
  <c r="G22" i="5"/>
  <c r="G17" i="5"/>
  <c r="G7" i="5"/>
  <c r="G13" i="5"/>
  <c r="G15" i="5"/>
  <c r="G11" i="5"/>
  <c r="G6" i="5"/>
  <c r="L23" i="5"/>
  <c r="L12" i="5"/>
  <c r="L18" i="5"/>
  <c r="L10" i="5"/>
  <c r="L9" i="5"/>
  <c r="L19" i="6"/>
  <c r="L23" i="6"/>
  <c r="L25" i="6"/>
  <c r="L29" i="6"/>
  <c r="L6" i="6"/>
  <c r="G28" i="6"/>
  <c r="G13" i="6"/>
  <c r="G21" i="6"/>
  <c r="G9" i="6"/>
  <c r="G17" i="6"/>
  <c r="G12" i="6"/>
  <c r="G8" i="6"/>
  <c r="L22" i="5"/>
  <c r="L17" i="5"/>
  <c r="L7" i="5"/>
  <c r="L13" i="5"/>
  <c r="L15" i="5"/>
  <c r="L11" i="5"/>
  <c r="L6" i="5"/>
  <c r="L28" i="6"/>
  <c r="L13" i="6"/>
  <c r="L21" i="6"/>
  <c r="L9" i="6"/>
  <c r="L17" i="6"/>
  <c r="L12" i="6"/>
  <c r="L8" i="6"/>
  <c r="G19" i="6"/>
  <c r="G23" i="6"/>
  <c r="G25" i="6"/>
  <c r="G29" i="6"/>
  <c r="G6" i="6"/>
  <c r="G23" i="5"/>
  <c r="G12" i="5"/>
  <c r="G18" i="5"/>
  <c r="G10" i="5"/>
  <c r="G9" i="5"/>
  <c r="G26" i="10"/>
  <c r="G28" i="10"/>
  <c r="G27" i="10"/>
  <c r="L16" i="6"/>
  <c r="L14" i="6"/>
  <c r="L18" i="6"/>
  <c r="L22" i="6"/>
  <c r="L27" i="6"/>
  <c r="L26" i="6"/>
  <c r="L15" i="6"/>
  <c r="L8" i="5"/>
  <c r="L16" i="5"/>
  <c r="L19" i="5"/>
  <c r="L20" i="5"/>
  <c r="L24" i="5"/>
  <c r="L14" i="5"/>
  <c r="L21" i="5"/>
  <c r="G14" i="5"/>
  <c r="G21" i="5"/>
  <c r="G20" i="6"/>
  <c r="G24" i="6"/>
  <c r="G11" i="6"/>
  <c r="G10" i="6"/>
  <c r="G7" i="6"/>
  <c r="L20" i="6"/>
  <c r="L24" i="6"/>
  <c r="L11" i="6"/>
  <c r="L10" i="6"/>
  <c r="L7" i="6"/>
  <c r="G8" i="5"/>
  <c r="G16" i="5"/>
  <c r="G19" i="5"/>
  <c r="G20" i="5"/>
  <c r="G24" i="5"/>
  <c r="G16" i="6"/>
  <c r="G14" i="6"/>
  <c r="G18" i="6"/>
  <c r="G22" i="6"/>
  <c r="G27" i="6"/>
  <c r="G26" i="6"/>
  <c r="G15" i="6"/>
  <c r="H14" i="2"/>
  <c r="J14" i="2"/>
  <c r="M14" i="2"/>
  <c r="O14" i="2"/>
  <c r="H12" i="2"/>
  <c r="J12" i="2"/>
  <c r="M12" i="2"/>
  <c r="O12" i="2"/>
  <c r="H7" i="2"/>
  <c r="J7" i="2"/>
  <c r="M7" i="2"/>
  <c r="O7" i="2"/>
  <c r="H8" i="2"/>
  <c r="J8" i="2"/>
  <c r="M8" i="2"/>
  <c r="O8" i="2"/>
  <c r="H6" i="2"/>
  <c r="J6" i="2"/>
  <c r="M6" i="2"/>
  <c r="O6" i="2"/>
  <c r="H9" i="2"/>
  <c r="J9" i="2"/>
  <c r="M9" i="2"/>
  <c r="O9" i="2"/>
  <c r="H9" i="3"/>
  <c r="J9" i="3"/>
  <c r="M9" i="3"/>
  <c r="O9" i="3"/>
  <c r="H14" i="3"/>
  <c r="J14" i="3"/>
  <c r="M14" i="3"/>
  <c r="O14" i="3"/>
  <c r="H15" i="3"/>
  <c r="J15" i="3"/>
  <c r="M15" i="3"/>
  <c r="O15" i="3"/>
  <c r="H16" i="3"/>
  <c r="J16" i="3"/>
  <c r="M16" i="3"/>
  <c r="O16" i="3"/>
  <c r="H12" i="3"/>
  <c r="J12" i="3"/>
  <c r="M12" i="3"/>
  <c r="O12" i="3"/>
  <c r="H7" i="3"/>
  <c r="J7" i="3"/>
  <c r="M7" i="3"/>
  <c r="O7" i="3"/>
  <c r="H10" i="3"/>
  <c r="J10" i="3"/>
  <c r="M10" i="3"/>
  <c r="O10" i="3"/>
  <c r="H14" i="4"/>
  <c r="J14" i="4"/>
  <c r="M14" i="4"/>
  <c r="O14" i="4"/>
  <c r="H13" i="4"/>
  <c r="J13" i="4"/>
  <c r="O13" i="4"/>
  <c r="P13" i="4"/>
  <c r="M13" i="4"/>
  <c r="H20" i="4"/>
  <c r="J20" i="4"/>
  <c r="O20" i="4"/>
  <c r="P20" i="4"/>
  <c r="M20" i="4"/>
  <c r="H19" i="4"/>
  <c r="J19" i="4"/>
  <c r="M19" i="4"/>
  <c r="O19" i="4"/>
  <c r="H15" i="4"/>
  <c r="J15" i="4"/>
  <c r="M15" i="4"/>
  <c r="O15" i="4"/>
  <c r="H7" i="4"/>
  <c r="J7" i="4"/>
  <c r="M7" i="4"/>
  <c r="O7" i="4"/>
  <c r="H16" i="4"/>
  <c r="J16" i="4"/>
  <c r="M16" i="4"/>
  <c r="O16" i="4"/>
  <c r="H24" i="4"/>
  <c r="J24" i="4"/>
  <c r="M24" i="4"/>
  <c r="O24" i="4"/>
  <c r="H14" i="9"/>
  <c r="J14" i="9"/>
  <c r="M14" i="9"/>
  <c r="O14" i="9"/>
  <c r="H16" i="9"/>
  <c r="J16" i="9"/>
  <c r="M16" i="9"/>
  <c r="O16" i="9"/>
  <c r="H20" i="9"/>
  <c r="J20" i="9"/>
  <c r="M20" i="9"/>
  <c r="O20" i="9"/>
  <c r="H13" i="9"/>
  <c r="J13" i="9"/>
  <c r="M13" i="9"/>
  <c r="O13" i="9"/>
  <c r="H22" i="9"/>
  <c r="J22" i="9"/>
  <c r="M22" i="9"/>
  <c r="O22" i="9"/>
  <c r="H21" i="9"/>
  <c r="J21" i="9"/>
  <c r="M21" i="9"/>
  <c r="O21" i="9"/>
  <c r="H10" i="9"/>
  <c r="J10" i="9"/>
  <c r="M10" i="9"/>
  <c r="O10" i="9"/>
  <c r="H8" i="9"/>
  <c r="J8" i="9"/>
  <c r="M8" i="9"/>
  <c r="O8" i="9"/>
  <c r="H6" i="9"/>
  <c r="J6" i="9"/>
  <c r="M6" i="9"/>
  <c r="O6" i="9"/>
  <c r="H9" i="9"/>
  <c r="J9" i="9"/>
  <c r="M9" i="9"/>
  <c r="O9" i="9"/>
  <c r="H17" i="9"/>
  <c r="J17" i="9"/>
  <c r="M17" i="9"/>
  <c r="O17" i="9"/>
  <c r="H18" i="5"/>
  <c r="J18" i="5"/>
  <c r="M18" i="5"/>
  <c r="O18" i="5"/>
  <c r="H12" i="5"/>
  <c r="J12" i="5"/>
  <c r="M12" i="5"/>
  <c r="O12" i="5"/>
  <c r="H23" i="5"/>
  <c r="J23" i="5"/>
  <c r="M23" i="5"/>
  <c r="O23" i="5"/>
  <c r="H17" i="6"/>
  <c r="J17" i="6"/>
  <c r="M17" i="6"/>
  <c r="O17" i="6"/>
  <c r="H9" i="6"/>
  <c r="J9" i="6"/>
  <c r="M9" i="6"/>
  <c r="O9" i="6"/>
  <c r="H21" i="6"/>
  <c r="J21" i="6"/>
  <c r="M21" i="6"/>
  <c r="O21" i="6"/>
  <c r="H13" i="6"/>
  <c r="J13" i="6"/>
  <c r="M13" i="6"/>
  <c r="O13" i="6"/>
  <c r="H28" i="6"/>
  <c r="J28" i="6"/>
  <c r="M28" i="6"/>
  <c r="O28" i="6"/>
  <c r="O12" i="6"/>
  <c r="M12" i="6"/>
  <c r="J12" i="6"/>
  <c r="H12" i="6"/>
  <c r="I26" i="10"/>
  <c r="I28" i="10"/>
  <c r="I27" i="10"/>
  <c r="I29" i="10"/>
  <c r="I24" i="10"/>
  <c r="I25" i="10"/>
  <c r="P12" i="3"/>
  <c r="P14" i="3"/>
  <c r="P9" i="3"/>
  <c r="P16" i="3"/>
  <c r="P15" i="3"/>
  <c r="P10" i="3"/>
  <c r="P8" i="2"/>
  <c r="P7" i="2"/>
  <c r="P12" i="2"/>
  <c r="P14" i="2"/>
  <c r="P16" i="9"/>
  <c r="P9" i="9"/>
  <c r="P6" i="9"/>
  <c r="P8" i="9"/>
  <c r="P10" i="9"/>
  <c r="P15" i="4"/>
  <c r="P14" i="4"/>
  <c r="P24" i="4"/>
  <c r="P7" i="4"/>
  <c r="P19" i="4"/>
  <c r="P14" i="9"/>
  <c r="P21" i="9"/>
  <c r="P13" i="9"/>
  <c r="P12" i="6"/>
  <c r="P17" i="6"/>
  <c r="P23" i="5"/>
  <c r="P18" i="5"/>
  <c r="P12" i="5"/>
  <c r="P22" i="9"/>
  <c r="P16" i="4"/>
  <c r="P9" i="2"/>
  <c r="P28" i="6"/>
  <c r="P17" i="9"/>
  <c r="P20" i="9"/>
  <c r="P7" i="3"/>
  <c r="P6" i="2"/>
  <c r="P13" i="6"/>
  <c r="P21" i="6"/>
  <c r="P9" i="6"/>
  <c r="O15" i="5"/>
  <c r="M15" i="5"/>
  <c r="J15" i="5"/>
  <c r="H15" i="5"/>
  <c r="P15" i="5"/>
  <c r="I14" i="10"/>
  <c r="I6" i="10"/>
  <c r="I11" i="10"/>
  <c r="I13" i="10"/>
  <c r="I10" i="10"/>
  <c r="I15" i="10"/>
  <c r="I16" i="10"/>
  <c r="I12" i="10"/>
  <c r="I7" i="10"/>
  <c r="I9" i="10"/>
  <c r="I8" i="10"/>
  <c r="O19" i="6"/>
  <c r="M19" i="6"/>
  <c r="J19" i="6"/>
  <c r="H19" i="6"/>
  <c r="O20" i="6"/>
  <c r="M20" i="6"/>
  <c r="J20" i="6"/>
  <c r="H20" i="6"/>
  <c r="O16" i="6"/>
  <c r="M16" i="6"/>
  <c r="J16" i="6"/>
  <c r="H16" i="6"/>
  <c r="O8" i="6"/>
  <c r="M8" i="6"/>
  <c r="J8" i="6"/>
  <c r="H8" i="6"/>
  <c r="O23" i="6"/>
  <c r="M23" i="6"/>
  <c r="J23" i="6"/>
  <c r="H23" i="6"/>
  <c r="O25" i="6"/>
  <c r="M25" i="6"/>
  <c r="J25" i="6"/>
  <c r="H25" i="6"/>
  <c r="O11" i="6"/>
  <c r="M11" i="6"/>
  <c r="J11" i="6"/>
  <c r="H11" i="6"/>
  <c r="O22" i="6"/>
  <c r="M22" i="6"/>
  <c r="J22" i="6"/>
  <c r="H22" i="6"/>
  <c r="O14" i="6"/>
  <c r="M14" i="6"/>
  <c r="J14" i="6"/>
  <c r="H14" i="6"/>
  <c r="O26" i="6"/>
  <c r="M26" i="6"/>
  <c r="J26" i="6"/>
  <c r="H26" i="6"/>
  <c r="O27" i="6"/>
  <c r="M27" i="6"/>
  <c r="J27" i="6"/>
  <c r="H27" i="6"/>
  <c r="O15" i="6"/>
  <c r="M15" i="6"/>
  <c r="J15" i="6"/>
  <c r="H15" i="6"/>
  <c r="O24" i="6"/>
  <c r="M24" i="6"/>
  <c r="J24" i="6"/>
  <c r="H24" i="6"/>
  <c r="O6" i="6"/>
  <c r="M6" i="6"/>
  <c r="J6" i="6"/>
  <c r="H6" i="6"/>
  <c r="O29" i="6"/>
  <c r="M29" i="6"/>
  <c r="J29" i="6"/>
  <c r="H29" i="6"/>
  <c r="O10" i="6"/>
  <c r="M10" i="6"/>
  <c r="J10" i="6"/>
  <c r="H10" i="6"/>
  <c r="O7" i="6"/>
  <c r="M7" i="6"/>
  <c r="J7" i="6"/>
  <c r="H7" i="6"/>
  <c r="O18" i="6"/>
  <c r="M18" i="6"/>
  <c r="J18" i="6"/>
  <c r="H18" i="6"/>
  <c r="O6" i="5"/>
  <c r="M6" i="5"/>
  <c r="J6" i="5"/>
  <c r="H6" i="5"/>
  <c r="O9" i="5"/>
  <c r="M9" i="5"/>
  <c r="J9" i="5"/>
  <c r="H9" i="5"/>
  <c r="O7" i="5"/>
  <c r="M7" i="5"/>
  <c r="J7" i="5"/>
  <c r="H7" i="5"/>
  <c r="O17" i="5"/>
  <c r="M17" i="5"/>
  <c r="J17" i="5"/>
  <c r="H17" i="5"/>
  <c r="O19" i="5"/>
  <c r="M19" i="5"/>
  <c r="J19" i="5"/>
  <c r="H19" i="5"/>
  <c r="O16" i="5"/>
  <c r="M16" i="5"/>
  <c r="J16" i="5"/>
  <c r="H16" i="5"/>
  <c r="O14" i="5"/>
  <c r="M14" i="5"/>
  <c r="J14" i="5"/>
  <c r="H14" i="5"/>
  <c r="O21" i="5"/>
  <c r="M21" i="5"/>
  <c r="J21" i="5"/>
  <c r="H21" i="5"/>
  <c r="O24" i="5"/>
  <c r="M24" i="5"/>
  <c r="J24" i="5"/>
  <c r="H24" i="5"/>
  <c r="O10" i="5"/>
  <c r="M10" i="5"/>
  <c r="J10" i="5"/>
  <c r="H10" i="5"/>
  <c r="O11" i="5"/>
  <c r="M11" i="5"/>
  <c r="J11" i="5"/>
  <c r="H11" i="5"/>
  <c r="O8" i="5"/>
  <c r="M8" i="5"/>
  <c r="J8" i="5"/>
  <c r="H8" i="5"/>
  <c r="O20" i="5"/>
  <c r="M20" i="5"/>
  <c r="J20" i="5"/>
  <c r="H20" i="5"/>
  <c r="O22" i="5"/>
  <c r="M22" i="5"/>
  <c r="J22" i="5"/>
  <c r="H22" i="5"/>
  <c r="O13" i="5"/>
  <c r="M13" i="5"/>
  <c r="J13" i="5"/>
  <c r="H13" i="5"/>
  <c r="O15" i="9"/>
  <c r="M15" i="9"/>
  <c r="J15" i="9"/>
  <c r="H15" i="9"/>
  <c r="O12" i="9"/>
  <c r="M12" i="9"/>
  <c r="O19" i="9"/>
  <c r="M19" i="9"/>
  <c r="J19" i="9"/>
  <c r="H19" i="9"/>
  <c r="O23" i="9"/>
  <c r="M23" i="9"/>
  <c r="J23" i="9"/>
  <c r="H23" i="9"/>
  <c r="O18" i="9"/>
  <c r="M18" i="9"/>
  <c r="J18" i="9"/>
  <c r="H18" i="9"/>
  <c r="O7" i="9"/>
  <c r="M7" i="9"/>
  <c r="J7" i="9"/>
  <c r="H7" i="9"/>
  <c r="O24" i="9"/>
  <c r="M24" i="9"/>
  <c r="J24" i="9"/>
  <c r="H24" i="9"/>
  <c r="O11" i="9"/>
  <c r="M11" i="9"/>
  <c r="J11" i="9"/>
  <c r="H11" i="9"/>
  <c r="O6" i="4"/>
  <c r="M6" i="4"/>
  <c r="J6" i="4"/>
  <c r="H6" i="4"/>
  <c r="O21" i="4"/>
  <c r="M21" i="4"/>
  <c r="J21" i="4"/>
  <c r="H21" i="4"/>
  <c r="O8" i="4"/>
  <c r="M8" i="4"/>
  <c r="J8" i="4"/>
  <c r="H8" i="4"/>
  <c r="O11" i="4"/>
  <c r="M11" i="4"/>
  <c r="J11" i="4"/>
  <c r="H11" i="4"/>
  <c r="O25" i="4"/>
  <c r="M25" i="4"/>
  <c r="J25" i="4"/>
  <c r="H25" i="4"/>
  <c r="O26" i="4"/>
  <c r="M26" i="4"/>
  <c r="J26" i="4"/>
  <c r="H26" i="4"/>
  <c r="O9" i="4"/>
  <c r="M9" i="4"/>
  <c r="J9" i="4"/>
  <c r="H9" i="4"/>
  <c r="O10" i="4"/>
  <c r="M10" i="4"/>
  <c r="J10" i="4"/>
  <c r="H10" i="4"/>
  <c r="O22" i="4"/>
  <c r="M22" i="4"/>
  <c r="J22" i="4"/>
  <c r="H22" i="4"/>
  <c r="O12" i="4"/>
  <c r="M12" i="4"/>
  <c r="J12" i="4"/>
  <c r="H12" i="4"/>
  <c r="O18" i="4"/>
  <c r="M18" i="4"/>
  <c r="J18" i="4"/>
  <c r="H18" i="4"/>
  <c r="O23" i="4"/>
  <c r="M23" i="4"/>
  <c r="J23" i="4"/>
  <c r="H23" i="4"/>
  <c r="O17" i="4"/>
  <c r="M17" i="4"/>
  <c r="J17" i="4"/>
  <c r="H17" i="4"/>
  <c r="O6" i="3"/>
  <c r="M6" i="3"/>
  <c r="J6" i="3"/>
  <c r="H6" i="3"/>
  <c r="O11" i="3"/>
  <c r="M11" i="3"/>
  <c r="J11" i="3"/>
  <c r="H11" i="3"/>
  <c r="O13" i="3"/>
  <c r="M13" i="3"/>
  <c r="J13" i="3"/>
  <c r="H13" i="3"/>
  <c r="O8" i="3"/>
  <c r="M8" i="3"/>
  <c r="J8" i="3"/>
  <c r="H8" i="3"/>
  <c r="O10" i="2"/>
  <c r="O13" i="2"/>
  <c r="O11" i="2"/>
  <c r="M10" i="2"/>
  <c r="M13" i="2"/>
  <c r="M11" i="2"/>
  <c r="J10" i="2"/>
  <c r="J13" i="2"/>
  <c r="J11" i="2"/>
  <c r="H11" i="2"/>
  <c r="H10" i="2"/>
  <c r="H13" i="2"/>
  <c r="P11" i="3"/>
  <c r="P10" i="2"/>
  <c r="P13" i="2"/>
  <c r="P6" i="3"/>
  <c r="P13" i="3"/>
  <c r="P8" i="3"/>
  <c r="P11" i="2"/>
  <c r="P11" i="4"/>
  <c r="P25" i="4"/>
  <c r="P18" i="4"/>
  <c r="P17" i="4"/>
  <c r="P26" i="4"/>
  <c r="P23" i="4"/>
  <c r="P6" i="4"/>
  <c r="P21" i="4"/>
  <c r="P9" i="4"/>
  <c r="P12" i="4"/>
  <c r="P8" i="4"/>
  <c r="P22" i="4"/>
  <c r="P10" i="4"/>
  <c r="P21" i="5"/>
  <c r="P16" i="5"/>
  <c r="P19" i="5"/>
  <c r="P6" i="5"/>
  <c r="P11" i="9"/>
  <c r="P24" i="9"/>
  <c r="P23" i="9"/>
  <c r="P19" i="9"/>
  <c r="P7" i="9"/>
  <c r="P29" i="6"/>
  <c r="P6" i="6"/>
  <c r="P22" i="6"/>
  <c r="P11" i="6"/>
  <c r="P25" i="6"/>
  <c r="P23" i="6"/>
  <c r="P10" i="6"/>
  <c r="P7" i="6"/>
  <c r="P20" i="6"/>
  <c r="P19" i="6"/>
  <c r="P26" i="6"/>
  <c r="P24" i="6"/>
  <c r="P15" i="6"/>
  <c r="P27" i="6"/>
  <c r="P8" i="6"/>
  <c r="P18" i="6"/>
  <c r="P14" i="6"/>
  <c r="P16" i="6"/>
  <c r="P18" i="9"/>
  <c r="P15" i="9"/>
  <c r="P11" i="5"/>
  <c r="P13" i="5"/>
  <c r="P10" i="5"/>
  <c r="P8" i="5"/>
  <c r="P7" i="5"/>
  <c r="P14" i="5"/>
  <c r="P22" i="5"/>
  <c r="P17" i="5"/>
  <c r="P20" i="5"/>
  <c r="P24" i="5"/>
  <c r="P9" i="5"/>
  <c r="H12" i="9"/>
  <c r="J12" i="9"/>
  <c r="P12" i="9"/>
</calcChain>
</file>

<file path=xl/comments1.xml><?xml version="1.0" encoding="utf-8"?>
<comments xmlns="http://schemas.openxmlformats.org/spreadsheetml/2006/main">
  <authors>
    <author>Kopacek Jiri (JIKOPAC)</author>
  </authors>
  <commentList>
    <comment ref="K26" authorId="0" shapeId="0">
      <text>
        <r>
          <rPr>
            <b/>
            <sz val="9"/>
            <color indexed="81"/>
            <rFont val="Tahoma"/>
            <charset val="1"/>
          </rPr>
          <t>Kopacek Jiri (JIKOPAC):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<sst xmlns="http://schemas.openxmlformats.org/spreadsheetml/2006/main" count="540" uniqueCount="209">
  <si>
    <t>BEDŘICHOVSKÝ JEŽEK</t>
  </si>
  <si>
    <t>XX. ročník</t>
  </si>
  <si>
    <t>Datum konání:</t>
  </si>
  <si>
    <t>Oddíl</t>
  </si>
  <si>
    <t>SG SOKOL Bedřichov</t>
  </si>
  <si>
    <t>KATEGORIE IV.</t>
  </si>
  <si>
    <t>Nar. 2003 a starší</t>
  </si>
  <si>
    <t>Prostná</t>
  </si>
  <si>
    <t>Kladina</t>
  </si>
  <si>
    <t>∑</t>
  </si>
  <si>
    <t>Poř.</t>
  </si>
  <si>
    <t>Příjmení, jméno</t>
  </si>
  <si>
    <t>Klub</t>
  </si>
  <si>
    <t>Trenér</t>
  </si>
  <si>
    <t>Roč.</t>
  </si>
  <si>
    <t>D obt.</t>
  </si>
  <si>
    <t>E Ø</t>
  </si>
  <si>
    <t>10-EØ</t>
  </si>
  <si>
    <t>sráž.</t>
  </si>
  <si>
    <t>Zahradníčková Lucie</t>
  </si>
  <si>
    <t>Sokol Horní Počernice</t>
  </si>
  <si>
    <t>Šotolová</t>
  </si>
  <si>
    <t>Doležalová Kateřina</t>
  </si>
  <si>
    <t>Sokol Chrudim</t>
  </si>
  <si>
    <t xml:space="preserve">Linková </t>
  </si>
  <si>
    <t>Chudá Viktória</t>
  </si>
  <si>
    <t>KSG Znojmo</t>
  </si>
  <si>
    <t>Křísteloví</t>
  </si>
  <si>
    <t>Tihelková Karolína</t>
  </si>
  <si>
    <t>GK Vítkovice</t>
  </si>
  <si>
    <t>Grmelová</t>
  </si>
  <si>
    <t>Peigerová Klára</t>
  </si>
  <si>
    <t>Sokol Mor. Krumlov</t>
  </si>
  <si>
    <t>Večeřová, Benešová</t>
  </si>
  <si>
    <t>Petrová Eliška</t>
  </si>
  <si>
    <t>kolektiv</t>
  </si>
  <si>
    <t>Pohanková Eliška</t>
  </si>
  <si>
    <t>Kučerová Radka</t>
  </si>
  <si>
    <t>Sokol Přibyslavice</t>
  </si>
  <si>
    <t>Uhrová</t>
  </si>
  <si>
    <t>Peštálová Petra</t>
  </si>
  <si>
    <t>Oddíl:</t>
  </si>
  <si>
    <t xml:space="preserve">KATEGORIE III. </t>
  </si>
  <si>
    <t>Nar. 2004 - 2005</t>
  </si>
  <si>
    <t>Kulhavá Sára</t>
  </si>
  <si>
    <t>Linková</t>
  </si>
  <si>
    <t>Šimonová Barbora</t>
  </si>
  <si>
    <t>Procházková Kristýna</t>
  </si>
  <si>
    <t>Křístelová</t>
  </si>
  <si>
    <t>Kavalcová Michaela</t>
  </si>
  <si>
    <t>Benešová, Večeřová</t>
  </si>
  <si>
    <t>Molíková Simona</t>
  </si>
  <si>
    <t>Vojtěchová Anna</t>
  </si>
  <si>
    <t>Viceníková Karin</t>
  </si>
  <si>
    <t>KSG Rosice</t>
  </si>
  <si>
    <t>Procházková, Hajdinová</t>
  </si>
  <si>
    <t>Horová Viktorie</t>
  </si>
  <si>
    <t>Chárová Kateřina</t>
  </si>
  <si>
    <t>Švecová Eliška</t>
  </si>
  <si>
    <t>SG Pelhřimov</t>
  </si>
  <si>
    <t>Svobodová, Zourová</t>
  </si>
  <si>
    <t>Srbová Michaela</t>
  </si>
  <si>
    <t>Sokol Bedřichov</t>
  </si>
  <si>
    <t>Dvořáková</t>
  </si>
  <si>
    <t>KATEGORIE II.</t>
  </si>
  <si>
    <t>nar. 2006–2007</t>
  </si>
  <si>
    <t>Hajdinová Karolína</t>
  </si>
  <si>
    <t>Smejkall Nella Antonella</t>
  </si>
  <si>
    <t>Škardová Magdaléna</t>
  </si>
  <si>
    <t>TJ Tourist Říčany</t>
  </si>
  <si>
    <t>Cirkvová</t>
  </si>
  <si>
    <t>Štrosová Veronika</t>
  </si>
  <si>
    <t>Vokřálová Amálie</t>
  </si>
  <si>
    <t>Sokol Brno I.</t>
  </si>
  <si>
    <t>Blatecká</t>
  </si>
  <si>
    <t>Vrábelová Ester</t>
  </si>
  <si>
    <t>Sokol Hodonín</t>
  </si>
  <si>
    <t>Kudrnová</t>
  </si>
  <si>
    <t>Fittaliolo Eleonora Dagmar</t>
  </si>
  <si>
    <t>Wildová Andrea</t>
  </si>
  <si>
    <t>Sokol Hradec Králové</t>
  </si>
  <si>
    <t>Seidlová Andrea</t>
  </si>
  <si>
    <t>Geržová Aneta</t>
  </si>
  <si>
    <t>Marešová Lucie</t>
  </si>
  <si>
    <t>Sokol Kolín</t>
  </si>
  <si>
    <t>Gaždová Lucie</t>
  </si>
  <si>
    <t>Švarcerová Alexandra</t>
  </si>
  <si>
    <t>Nováková Veronika</t>
  </si>
  <si>
    <t>Jeřábková Eveli</t>
  </si>
  <si>
    <t>Havlenová Elena</t>
  </si>
  <si>
    <t>GYMPRA</t>
  </si>
  <si>
    <t>Novotná</t>
  </si>
  <si>
    <t>Kopáčková Klára</t>
  </si>
  <si>
    <t>Varna Uma</t>
  </si>
  <si>
    <t>Brichová Anna Maria</t>
  </si>
  <si>
    <t>Hronová Tereza</t>
  </si>
  <si>
    <t>Bajerová Mia</t>
  </si>
  <si>
    <t>KATEGORIE I.</t>
  </si>
  <si>
    <t>nar. 2008</t>
  </si>
  <si>
    <t>Adamusová Amélie</t>
  </si>
  <si>
    <t>Křížová Gabriela</t>
  </si>
  <si>
    <t>Procházková</t>
  </si>
  <si>
    <t>Šťastná Daniela</t>
  </si>
  <si>
    <t>Mařanová Melanie</t>
  </si>
  <si>
    <t>Cikrlová Romana</t>
  </si>
  <si>
    <t>Vybíralová Kateřina</t>
  </si>
  <si>
    <t>Slovan J. Hradec</t>
  </si>
  <si>
    <t>Belšánová, Vybíralová, Jírová</t>
  </si>
  <si>
    <t>Dvořáková Barbora</t>
  </si>
  <si>
    <t>Kodýmová Karolína</t>
  </si>
  <si>
    <t>Pešová Dorota</t>
  </si>
  <si>
    <t>Šímová Viktorie</t>
  </si>
  <si>
    <t>Stávková Adéla</t>
  </si>
  <si>
    <t>Kotlařková Tamara</t>
  </si>
  <si>
    <t>Freslová Adéla</t>
  </si>
  <si>
    <t>Štrosová Kateřina</t>
  </si>
  <si>
    <t>Doubková, Večeřová, Benešová</t>
  </si>
  <si>
    <t>Kukolová Karolína</t>
  </si>
  <si>
    <t>Matějková Natálie</t>
  </si>
  <si>
    <t>Glogarová Aneta</t>
  </si>
  <si>
    <t>Novotná Viola</t>
  </si>
  <si>
    <t>Sokol Pardubice</t>
  </si>
  <si>
    <t>ing. Lepič</t>
  </si>
  <si>
    <t>Okošová Hana</t>
  </si>
  <si>
    <t xml:space="preserve">Datum konání: </t>
  </si>
  <si>
    <t>nar. 2009</t>
  </si>
  <si>
    <t>Hajdinová Natálie</t>
  </si>
  <si>
    <t>Procházková, Chmelová</t>
  </si>
  <si>
    <t>Blatecká Veronika</t>
  </si>
  <si>
    <t>Pánková a kol.</t>
  </si>
  <si>
    <t>Jechová Andrea</t>
  </si>
  <si>
    <t>Hrůzová Gábina</t>
  </si>
  <si>
    <t>Klimešová Tereza</t>
  </si>
  <si>
    <t>Petrčková Nikola</t>
  </si>
  <si>
    <t>Jirušková Antonie</t>
  </si>
  <si>
    <t>Janoutová Natálie</t>
  </si>
  <si>
    <t>Blašková</t>
  </si>
  <si>
    <t>Truhlářová Natálie</t>
  </si>
  <si>
    <t>Vlková Zuzana</t>
  </si>
  <si>
    <t>Čechovská Ema Augustina</t>
  </si>
  <si>
    <t>Smereková Tereza</t>
  </si>
  <si>
    <t>Vargová Adéla</t>
  </si>
  <si>
    <t>Bakusová Bára</t>
  </si>
  <si>
    <t>Svobodová Barbora</t>
  </si>
  <si>
    <t>Musilová Lucie</t>
  </si>
  <si>
    <t>Mayerová Leona</t>
  </si>
  <si>
    <t>Machová Eliška</t>
  </si>
  <si>
    <t>Smetanová Sára</t>
  </si>
  <si>
    <t>BEDŘICHOVSKÝ  JEŽEK</t>
  </si>
  <si>
    <t>KATEGORIE MIMI</t>
  </si>
  <si>
    <t>nar. 2010 a mladší</t>
  </si>
  <si>
    <t>Lavička</t>
  </si>
  <si>
    <t>10 -EØ</t>
  </si>
  <si>
    <t>Žvejkalová Amélie</t>
  </si>
  <si>
    <t>Bernardová</t>
  </si>
  <si>
    <t>Olivová Elizabeth</t>
  </si>
  <si>
    <t>Maryšková Nela</t>
  </si>
  <si>
    <t>Dvořáková, Hofbauerová</t>
  </si>
  <si>
    <t>Kurfürstová Eliška</t>
  </si>
  <si>
    <t>Svobodová Nela</t>
  </si>
  <si>
    <t>Petrusová Anežka</t>
  </si>
  <si>
    <t>Michalisková Linda</t>
  </si>
  <si>
    <t>Wandruschka Jessica</t>
  </si>
  <si>
    <t>Malinová Izabell Zoe</t>
  </si>
  <si>
    <t>Číhalová Karolína</t>
  </si>
  <si>
    <t>Plachá Emily</t>
  </si>
  <si>
    <t>Francová Adriana</t>
  </si>
  <si>
    <t>Šedrlová Lenka</t>
  </si>
  <si>
    <t>Doubková, Pohanková</t>
  </si>
  <si>
    <t>Schlesingerová Ema</t>
  </si>
  <si>
    <t>Novotná, Poláková</t>
  </si>
  <si>
    <t>Ulbrichová Lara</t>
  </si>
  <si>
    <t>Christová, Chmelová</t>
  </si>
  <si>
    <t>Šrůtková Ela</t>
  </si>
  <si>
    <t>Dřevojanová Anežka</t>
  </si>
  <si>
    <t>Steinhauserová Julie</t>
  </si>
  <si>
    <t>Pakošová Sára</t>
  </si>
  <si>
    <t>Dušičková Nela</t>
  </si>
  <si>
    <t>Chocholová Sára</t>
  </si>
  <si>
    <t>Michalová Vanesa</t>
  </si>
  <si>
    <t>Novotná, Konečná</t>
  </si>
  <si>
    <t>Marešová Karolína</t>
  </si>
  <si>
    <t>Kozych Mila</t>
  </si>
  <si>
    <t>KATEGORIE CHLAPCI</t>
  </si>
  <si>
    <t>nar. 2007 a mladší</t>
  </si>
  <si>
    <t>Přeskok</t>
  </si>
  <si>
    <t>Kruhy</t>
  </si>
  <si>
    <t>Straka Jan</t>
  </si>
  <si>
    <t>Konečná, Konečný</t>
  </si>
  <si>
    <t>Kopáček David</t>
  </si>
  <si>
    <t>Bavelsky Savva</t>
  </si>
  <si>
    <t>Schlesinger David</t>
  </si>
  <si>
    <t>Neumann Bartoloměj</t>
  </si>
  <si>
    <t>Muryc</t>
  </si>
  <si>
    <t>Kozych Mark</t>
  </si>
  <si>
    <t>Štolz Vítězslav</t>
  </si>
  <si>
    <t>Kučerová</t>
  </si>
  <si>
    <t>Suchý Matěj</t>
  </si>
  <si>
    <t>Dub Samuel</t>
  </si>
  <si>
    <t>Bartošek Adam</t>
  </si>
  <si>
    <t>Dolejš</t>
  </si>
  <si>
    <t>Edr Matyáš</t>
  </si>
  <si>
    <t>nar. 2009 a mladší</t>
  </si>
  <si>
    <t>Varna Viggo</t>
  </si>
  <si>
    <t>Vrána Ondřej</t>
  </si>
  <si>
    <t>Svěrák Adam</t>
  </si>
  <si>
    <t>Grzebinski Filip</t>
  </si>
  <si>
    <t>Prchal Marek</t>
  </si>
  <si>
    <t>Hašek Radek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</si>
</sst>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/m/yyyy;@"/>
  </numFmts>
  <fonts count="20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3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165" fontId="5" fillId="0" borderId="0" xfId="0" applyNumberFormat="1" applyFont="1" applyAlignment="1">
      <alignment horizontal="left"/>
    </xf>
    <xf numFmtId="0" fontId="8" fillId="2" borderId="7" xfId="0" applyFont="1" applyFill="1" applyBorder="1"/>
    <xf numFmtId="0" fontId="3" fillId="2" borderId="7" xfId="0" applyFont="1" applyFill="1" applyBorder="1"/>
    <xf numFmtId="2" fontId="9" fillId="2" borderId="16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/>
    <xf numFmtId="2" fontId="11" fillId="2" borderId="11" xfId="0" applyNumberFormat="1" applyFont="1" applyFill="1" applyBorder="1" applyAlignment="1">
      <alignment horizontal="center"/>
    </xf>
    <xf numFmtId="164" fontId="7" fillId="0" borderId="10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7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9" fillId="2" borderId="15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/>
    <xf numFmtId="0" fontId="8" fillId="2" borderId="9" xfId="0" applyFont="1" applyFill="1" applyBorder="1"/>
    <xf numFmtId="0" fontId="12" fillId="2" borderId="12" xfId="0" applyFont="1" applyFill="1" applyBorder="1" applyAlignment="1">
      <alignment horizontal="center"/>
    </xf>
    <xf numFmtId="164" fontId="5" fillId="0" borderId="0" xfId="0" applyNumberFormat="1" applyFont="1"/>
    <xf numFmtId="164" fontId="7" fillId="0" borderId="4" xfId="0" applyNumberFormat="1" applyFont="1" applyBorder="1"/>
    <xf numFmtId="164" fontId="7" fillId="4" borderId="4" xfId="0" applyNumberFormat="1" applyFont="1" applyFill="1" applyBorder="1"/>
    <xf numFmtId="164" fontId="7" fillId="0" borderId="18" xfId="0" applyNumberFormat="1" applyFont="1" applyBorder="1"/>
    <xf numFmtId="164" fontId="7" fillId="4" borderId="18" xfId="0" applyNumberFormat="1" applyFont="1" applyFill="1" applyBorder="1"/>
    <xf numFmtId="0" fontId="13" fillId="0" borderId="4" xfId="0" applyFont="1" applyBorder="1"/>
    <xf numFmtId="2" fontId="9" fillId="2" borderId="19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18" xfId="0" applyFont="1" applyBorder="1"/>
    <xf numFmtId="164" fontId="7" fillId="0" borderId="20" xfId="0" applyNumberFormat="1" applyFont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17" xfId="0" applyNumberFormat="1" applyFont="1" applyBorder="1"/>
    <xf numFmtId="164" fontId="7" fillId="0" borderId="2" xfId="0" applyNumberFormat="1" applyFont="1" applyBorder="1"/>
    <xf numFmtId="164" fontId="7" fillId="0" borderId="8" xfId="0" applyNumberFormat="1" applyFont="1" applyBorder="1"/>
    <xf numFmtId="164" fontId="7" fillId="5" borderId="19" xfId="0" applyNumberFormat="1" applyFont="1" applyFill="1" applyBorder="1"/>
    <xf numFmtId="164" fontId="7" fillId="5" borderId="3" xfId="0" applyNumberFormat="1" applyFont="1" applyFill="1" applyBorder="1"/>
    <xf numFmtId="164" fontId="7" fillId="5" borderId="5" xfId="0" applyNumberFormat="1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1" fillId="3" borderId="25" xfId="0" applyNumberFormat="1" applyFont="1" applyFill="1" applyBorder="1"/>
    <xf numFmtId="164" fontId="1" fillId="3" borderId="26" xfId="0" applyNumberFormat="1" applyFont="1" applyFill="1" applyBorder="1"/>
    <xf numFmtId="164" fontId="1" fillId="3" borderId="27" xfId="0" applyNumberFormat="1" applyFont="1" applyFill="1" applyBorder="1"/>
    <xf numFmtId="164" fontId="7" fillId="0" borderId="28" xfId="0" applyNumberFormat="1" applyFont="1" applyBorder="1"/>
    <xf numFmtId="164" fontId="7" fillId="0" borderId="29" xfId="0" applyNumberFormat="1" applyFont="1" applyBorder="1"/>
    <xf numFmtId="164" fontId="7" fillId="0" borderId="30" xfId="0" applyNumberFormat="1" applyFont="1" applyBorder="1"/>
    <xf numFmtId="1" fontId="11" fillId="0" borderId="32" xfId="0" applyNumberFormat="1" applyFont="1" applyBorder="1" applyAlignment="1">
      <alignment horizontal="center"/>
    </xf>
    <xf numFmtId="0" fontId="7" fillId="0" borderId="34" xfId="0" applyFont="1" applyFill="1" applyBorder="1"/>
    <xf numFmtId="0" fontId="7" fillId="0" borderId="34" xfId="0" applyFont="1" applyBorder="1"/>
    <xf numFmtId="0" fontId="7" fillId="0" borderId="36" xfId="0" applyFont="1" applyBorder="1"/>
    <xf numFmtId="0" fontId="5" fillId="0" borderId="2" xfId="0" applyFont="1" applyBorder="1"/>
    <xf numFmtId="0" fontId="7" fillId="0" borderId="19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8" xfId="0" applyFont="1" applyBorder="1"/>
    <xf numFmtId="0" fontId="7" fillId="0" borderId="34" xfId="0" applyFont="1" applyBorder="1" applyAlignment="1">
      <alignment vertical="top"/>
    </xf>
    <xf numFmtId="0" fontId="5" fillId="0" borderId="34" xfId="0" applyFont="1" applyFill="1" applyBorder="1"/>
    <xf numFmtId="0" fontId="5" fillId="0" borderId="34" xfId="0" applyFont="1" applyBorder="1"/>
    <xf numFmtId="1" fontId="11" fillId="0" borderId="37" xfId="0" applyNumberFormat="1" applyFont="1" applyBorder="1" applyAlignment="1">
      <alignment horizontal="center"/>
    </xf>
    <xf numFmtId="164" fontId="1" fillId="3" borderId="23" xfId="0" applyNumberFormat="1" applyFont="1" applyFill="1" applyBorder="1"/>
    <xf numFmtId="164" fontId="1" fillId="3" borderId="24" xfId="0" applyNumberFormat="1" applyFont="1" applyFill="1" applyBorder="1"/>
    <xf numFmtId="0" fontId="7" fillId="0" borderId="31" xfId="0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2" borderId="27" xfId="0" applyFont="1" applyFill="1" applyBorder="1"/>
    <xf numFmtId="0" fontId="10" fillId="2" borderId="26" xfId="0" applyFont="1" applyFill="1" applyBorder="1" applyAlignment="1">
      <alignment horizontal="right"/>
    </xf>
    <xf numFmtId="0" fontId="7" fillId="0" borderId="35" xfId="0" applyFont="1" applyFill="1" applyBorder="1"/>
    <xf numFmtId="1" fontId="11" fillId="0" borderId="38" xfId="0" applyNumberFormat="1" applyFont="1" applyBorder="1" applyAlignment="1">
      <alignment horizontal="center"/>
    </xf>
    <xf numFmtId="0" fontId="5" fillId="2" borderId="27" xfId="0" applyFont="1" applyFill="1" applyBorder="1"/>
    <xf numFmtId="164" fontId="7" fillId="5" borderId="39" xfId="0" applyNumberFormat="1" applyFont="1" applyFill="1" applyBorder="1"/>
    <xf numFmtId="0" fontId="7" fillId="0" borderId="2" xfId="0" applyFont="1" applyBorder="1"/>
    <xf numFmtId="0" fontId="7" fillId="0" borderId="2" xfId="0" applyFont="1" applyFill="1" applyBorder="1"/>
    <xf numFmtId="0" fontId="7" fillId="0" borderId="41" xfId="0" applyFont="1" applyBorder="1"/>
    <xf numFmtId="0" fontId="14" fillId="0" borderId="0" xfId="0" applyFont="1"/>
    <xf numFmtId="0" fontId="13" fillId="0" borderId="13" xfId="0" applyFont="1" applyFill="1" applyBorder="1"/>
    <xf numFmtId="0" fontId="10" fillId="2" borderId="42" xfId="0" applyFont="1" applyFill="1" applyBorder="1" applyAlignment="1">
      <alignment horizontal="right"/>
    </xf>
    <xf numFmtId="164" fontId="5" fillId="0" borderId="2" xfId="0" applyNumberFormat="1" applyFont="1" applyBorder="1"/>
    <xf numFmtId="164" fontId="5" fillId="0" borderId="1" xfId="0" applyNumberFormat="1" applyFont="1" applyBorder="1"/>
    <xf numFmtId="0" fontId="12" fillId="2" borderId="42" xfId="0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12" fillId="2" borderId="43" xfId="0" applyFont="1" applyFill="1" applyBorder="1" applyAlignment="1">
      <alignment horizontal="right"/>
    </xf>
    <xf numFmtId="0" fontId="15" fillId="0" borderId="0" xfId="1"/>
    <xf numFmtId="1" fontId="16" fillId="0" borderId="33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164" fontId="1" fillId="3" borderId="45" xfId="0" applyNumberFormat="1" applyFont="1" applyFill="1" applyBorder="1"/>
    <xf numFmtId="0" fontId="7" fillId="0" borderId="40" xfId="0" applyFont="1" applyBorder="1"/>
    <xf numFmtId="0" fontId="8" fillId="2" borderId="18" xfId="0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164" fontId="7" fillId="5" borderId="33" xfId="0" applyNumberFormat="1" applyFont="1" applyFill="1" applyBorder="1"/>
    <xf numFmtId="164" fontId="7" fillId="5" borderId="37" xfId="0" applyNumberFormat="1" applyFont="1" applyFill="1" applyBorder="1"/>
    <xf numFmtId="164" fontId="7" fillId="5" borderId="38" xfId="0" applyNumberFormat="1" applyFont="1" applyFill="1" applyBorder="1"/>
    <xf numFmtId="0" fontId="13" fillId="0" borderId="13" xfId="0" applyFont="1" applyBorder="1"/>
    <xf numFmtId="164" fontId="7" fillId="0" borderId="51" xfId="0" applyNumberFormat="1" applyFont="1" applyBorder="1"/>
    <xf numFmtId="164" fontId="7" fillId="4" borderId="20" xfId="0" applyNumberFormat="1" applyFont="1" applyFill="1" applyBorder="1"/>
    <xf numFmtId="164" fontId="7" fillId="5" borderId="50" xfId="0" applyNumberFormat="1" applyFont="1" applyFill="1" applyBorder="1"/>
    <xf numFmtId="164" fontId="1" fillId="3" borderId="52" xfId="0" applyNumberFormat="1" applyFont="1" applyFill="1" applyBorder="1"/>
    <xf numFmtId="0" fontId="7" fillId="0" borderId="29" xfId="0" applyFont="1" applyBorder="1"/>
    <xf numFmtId="0" fontId="13" fillId="0" borderId="10" xfId="0" applyFont="1" applyBorder="1"/>
    <xf numFmtId="0" fontId="7" fillId="0" borderId="39" xfId="0" applyFont="1" applyBorder="1" applyAlignment="1">
      <alignment horizontal="center"/>
    </xf>
    <xf numFmtId="164" fontId="7" fillId="0" borderId="40" xfId="0" applyNumberFormat="1" applyFont="1" applyBorder="1"/>
    <xf numFmtId="164" fontId="7" fillId="4" borderId="10" xfId="0" applyNumberFormat="1" applyFont="1" applyFill="1" applyBorder="1"/>
    <xf numFmtId="0" fontId="7" fillId="0" borderId="29" xfId="0" applyFont="1" applyFill="1" applyBorder="1"/>
    <xf numFmtId="0" fontId="7" fillId="0" borderId="30" xfId="0" applyFont="1" applyFill="1" applyBorder="1"/>
    <xf numFmtId="0" fontId="13" fillId="0" borderId="10" xfId="0" applyFont="1" applyFill="1" applyBorder="1"/>
    <xf numFmtId="0" fontId="13" fillId="0" borderId="20" xfId="0" applyFont="1" applyFill="1" applyBorder="1"/>
    <xf numFmtId="0" fontId="13" fillId="0" borderId="13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8" xfId="0" applyFont="1" applyBorder="1"/>
    <xf numFmtId="0" fontId="5" fillId="0" borderId="41" xfId="0" applyFont="1" applyBorder="1"/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4" xfId="0" applyFont="1" applyFill="1" applyBorder="1" applyAlignment="1">
      <alignment horizontal="center"/>
    </xf>
    <xf numFmtId="164" fontId="12" fillId="2" borderId="43" xfId="0" applyNumberFormat="1" applyFont="1" applyFill="1" applyBorder="1" applyAlignment="1">
      <alignment horizontal="center"/>
    </xf>
    <xf numFmtId="164" fontId="12" fillId="2" borderId="53" xfId="0" applyNumberFormat="1" applyFont="1" applyFill="1" applyBorder="1" applyAlignment="1">
      <alignment horizontal="center"/>
    </xf>
    <xf numFmtId="164" fontId="6" fillId="2" borderId="54" xfId="0" applyNumberFormat="1" applyFont="1" applyFill="1" applyBorder="1" applyAlignment="1">
      <alignment horizontal="center"/>
    </xf>
    <xf numFmtId="164" fontId="9" fillId="2" borderId="42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/>
    </xf>
    <xf numFmtId="1" fontId="11" fillId="0" borderId="38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13" fillId="0" borderId="4" xfId="0" applyFont="1" applyBorder="1" applyAlignment="1">
      <alignment horizontal="left"/>
    </xf>
    <xf numFmtId="1" fontId="16" fillId="0" borderId="32" xfId="0" applyNumberFormat="1" applyFont="1" applyBorder="1" applyAlignment="1">
      <alignment horizontal="center"/>
    </xf>
    <xf numFmtId="0" fontId="7" fillId="0" borderId="17" xfId="0" applyFont="1" applyBorder="1"/>
    <xf numFmtId="0" fontId="5" fillId="0" borderId="55" xfId="0" applyFont="1" applyBorder="1" applyAlignment="1">
      <alignment horizontal="center"/>
    </xf>
    <xf numFmtId="164" fontId="7" fillId="5" borderId="32" xfId="0" applyNumberFormat="1" applyFont="1" applyFill="1" applyBorder="1"/>
    <xf numFmtId="164" fontId="1" fillId="3" borderId="56" xfId="0" applyNumberFormat="1" applyFont="1" applyFill="1" applyBorder="1"/>
    <xf numFmtId="1" fontId="16" fillId="0" borderId="57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4"/>
  <sheetViews>
    <sheetView zoomScaleNormal="100" workbookViewId="0">
      <selection activeCell="D15" sqref="D15"/>
    </sheetView>
  </sheetViews>
  <sheetFormatPr defaultRowHeight="12.75"/>
  <cols>
    <col min="1" max="1" width="3.85546875" style="3" customWidth="1"/>
    <col min="2" max="2" width="22.7109375" style="3" bestFit="1" customWidth="1"/>
    <col min="3" max="3" width="20.140625" style="3" bestFit="1" customWidth="1"/>
    <col min="4" max="4" width="17" style="3" customWidth="1"/>
    <col min="5" max="5" width="5.42578125" style="19" customWidth="1"/>
    <col min="6" max="9" width="6" style="34" customWidth="1"/>
    <col min="10" max="10" width="8.7109375" style="34" customWidth="1"/>
    <col min="11" max="14" width="6" style="34" customWidth="1"/>
    <col min="15" max="15" width="8.7109375" style="34" customWidth="1"/>
    <col min="16" max="16" width="9.7109375" style="34" customWidth="1"/>
    <col min="17" max="16384" width="9.140625" style="3"/>
  </cols>
  <sheetData>
    <row r="1" spans="1:18" ht="26.25" customHeight="1">
      <c r="A1" s="2" t="s">
        <v>0</v>
      </c>
      <c r="D1" s="2"/>
      <c r="O1" s="55" t="s">
        <v>1</v>
      </c>
      <c r="P1" s="56"/>
    </row>
    <row r="2" spans="1:18">
      <c r="B2" s="5" t="s">
        <v>2</v>
      </c>
      <c r="D2" s="6" t="s">
        <v>3</v>
      </c>
    </row>
    <row r="3" spans="1:18" ht="13.5" thickBot="1">
      <c r="B3" s="7">
        <v>42497</v>
      </c>
      <c r="C3" s="6"/>
      <c r="D3" s="3" t="s">
        <v>4</v>
      </c>
    </row>
    <row r="4" spans="1:18" ht="18.75" customHeight="1">
      <c r="A4" s="22"/>
      <c r="B4" s="32" t="s">
        <v>5</v>
      </c>
      <c r="C4" s="8" t="s">
        <v>6</v>
      </c>
      <c r="D4" s="23"/>
      <c r="E4" s="136"/>
      <c r="F4" s="156" t="s">
        <v>7</v>
      </c>
      <c r="G4" s="156"/>
      <c r="H4" s="156"/>
      <c r="I4" s="156"/>
      <c r="J4" s="156"/>
      <c r="K4" s="157" t="s">
        <v>8</v>
      </c>
      <c r="L4" s="157"/>
      <c r="M4" s="157"/>
      <c r="N4" s="157"/>
      <c r="O4" s="157"/>
      <c r="P4" s="10" t="s">
        <v>9</v>
      </c>
      <c r="R4" s="90"/>
    </row>
    <row r="5" spans="1:18" ht="13.5" customHeight="1" thickBot="1">
      <c r="A5" s="97" t="s">
        <v>10</v>
      </c>
      <c r="B5" s="138" t="s">
        <v>11</v>
      </c>
      <c r="C5" s="138" t="s">
        <v>12</v>
      </c>
      <c r="D5" s="138" t="s">
        <v>13</v>
      </c>
      <c r="E5" s="139" t="s">
        <v>14</v>
      </c>
      <c r="F5" s="140" t="s">
        <v>15</v>
      </c>
      <c r="G5" s="141" t="s">
        <v>16</v>
      </c>
      <c r="H5" s="141" t="s">
        <v>17</v>
      </c>
      <c r="I5" s="141" t="s">
        <v>18</v>
      </c>
      <c r="J5" s="142" t="s">
        <v>9</v>
      </c>
      <c r="K5" s="140" t="s">
        <v>15</v>
      </c>
      <c r="L5" s="141" t="s">
        <v>16</v>
      </c>
      <c r="M5" s="141" t="s">
        <v>17</v>
      </c>
      <c r="N5" s="141" t="s">
        <v>18</v>
      </c>
      <c r="O5" s="142" t="s">
        <v>9</v>
      </c>
      <c r="P5" s="143"/>
    </row>
    <row r="6" spans="1:18">
      <c r="A6" s="144">
        <v>1</v>
      </c>
      <c r="B6" s="71" t="s">
        <v>19</v>
      </c>
      <c r="C6" s="44" t="s">
        <v>20</v>
      </c>
      <c r="D6" s="44" t="s">
        <v>21</v>
      </c>
      <c r="E6" s="68">
        <v>2003</v>
      </c>
      <c r="F6" s="49">
        <v>4</v>
      </c>
      <c r="G6" s="37">
        <f>AVERAGE(1.9,2.2,2.4,1.8)</f>
        <v>2.0750000000000002</v>
      </c>
      <c r="H6" s="38">
        <f t="shared" ref="H6:H14" si="0">IF(ISBLANK(G6),"",10-G6)</f>
        <v>7.9249999999999998</v>
      </c>
      <c r="I6" s="37"/>
      <c r="J6" s="52">
        <f t="shared" ref="J6:J14" si="1">IF(ISBLANK(G6),"",F6+(10-G6)+I6)</f>
        <v>11.925000000000001</v>
      </c>
      <c r="K6" s="49">
        <v>3.7</v>
      </c>
      <c r="L6" s="37">
        <f>AVERAGE(1.9,1.9,2)</f>
        <v>1.9333333333333333</v>
      </c>
      <c r="M6" s="38">
        <f t="shared" ref="M6:M14" si="2">IF(ISBLANK(L6),"",10-L6)</f>
        <v>8.0666666666666664</v>
      </c>
      <c r="N6" s="37"/>
      <c r="O6" s="52">
        <f t="shared" ref="O6:O14" si="3">IF(ISBLANK(L6),"",K6+(10-L6)+N6)</f>
        <v>11.766666666666666</v>
      </c>
      <c r="P6" s="59">
        <f t="shared" ref="P6:P14" si="4">IF(ISBLANK(J6),"",IF(ISBLANK(O6),"",J6+O6))</f>
        <v>23.691666666666666</v>
      </c>
    </row>
    <row r="7" spans="1:18">
      <c r="A7" s="79">
        <v>2</v>
      </c>
      <c r="B7" s="65" t="s">
        <v>22</v>
      </c>
      <c r="C7" s="24" t="s">
        <v>23</v>
      </c>
      <c r="D7" s="24" t="s">
        <v>24</v>
      </c>
      <c r="E7" s="47">
        <v>2000</v>
      </c>
      <c r="F7" s="50">
        <v>3.8</v>
      </c>
      <c r="G7" s="16">
        <f>AVERAGE(0.7,1.2,1,0.7)</f>
        <v>0.89999999999999991</v>
      </c>
      <c r="H7" s="31">
        <f t="shared" si="0"/>
        <v>9.1</v>
      </c>
      <c r="I7" s="16"/>
      <c r="J7" s="53">
        <f t="shared" si="1"/>
        <v>12.899999999999999</v>
      </c>
      <c r="K7" s="50">
        <v>3.8</v>
      </c>
      <c r="L7" s="16">
        <f>AVERAGE(3.9,4,4)</f>
        <v>3.9666666666666668</v>
      </c>
      <c r="M7" s="31">
        <f t="shared" si="2"/>
        <v>6.0333333333333332</v>
      </c>
      <c r="N7" s="16"/>
      <c r="O7" s="53">
        <f t="shared" si="3"/>
        <v>9.8333333333333321</v>
      </c>
      <c r="P7" s="57">
        <f t="shared" si="4"/>
        <v>22.733333333333331</v>
      </c>
    </row>
    <row r="8" spans="1:18">
      <c r="A8" s="79">
        <v>3</v>
      </c>
      <c r="B8" s="65" t="s">
        <v>25</v>
      </c>
      <c r="C8" s="24" t="s">
        <v>26</v>
      </c>
      <c r="D8" s="24" t="s">
        <v>27</v>
      </c>
      <c r="E8" s="47">
        <v>2002</v>
      </c>
      <c r="F8" s="50">
        <v>4</v>
      </c>
      <c r="G8" s="16">
        <f>AVERAGE(1.7,1.9,2.2,1.6)</f>
        <v>1.85</v>
      </c>
      <c r="H8" s="31">
        <f t="shared" si="0"/>
        <v>8.15</v>
      </c>
      <c r="I8" s="16"/>
      <c r="J8" s="53">
        <f t="shared" si="1"/>
        <v>12.15</v>
      </c>
      <c r="K8" s="50">
        <v>3.8</v>
      </c>
      <c r="L8" s="16">
        <f>AVERAGE(3.8,3.6,3.3)</f>
        <v>3.5666666666666664</v>
      </c>
      <c r="M8" s="31">
        <f t="shared" si="2"/>
        <v>6.4333333333333336</v>
      </c>
      <c r="N8" s="16"/>
      <c r="O8" s="53">
        <f t="shared" si="3"/>
        <v>10.233333333333334</v>
      </c>
      <c r="P8" s="57">
        <f t="shared" si="4"/>
        <v>22.383333333333333</v>
      </c>
    </row>
    <row r="9" spans="1:18">
      <c r="A9" s="79">
        <v>4</v>
      </c>
      <c r="B9" s="65" t="s">
        <v>28</v>
      </c>
      <c r="C9" s="24" t="s">
        <v>29</v>
      </c>
      <c r="D9" s="24" t="s">
        <v>30</v>
      </c>
      <c r="E9" s="47">
        <v>2003</v>
      </c>
      <c r="F9" s="50">
        <v>3.7</v>
      </c>
      <c r="G9" s="16">
        <f>AVERAGE(2,1.7,1.7,2)</f>
        <v>1.85</v>
      </c>
      <c r="H9" s="31">
        <f t="shared" si="0"/>
        <v>8.15</v>
      </c>
      <c r="I9" s="16"/>
      <c r="J9" s="53">
        <f t="shared" si="1"/>
        <v>11.850000000000001</v>
      </c>
      <c r="K9" s="50">
        <v>4.5</v>
      </c>
      <c r="L9" s="16">
        <f>AVERAGE(3.9,4,4.4)</f>
        <v>4.1000000000000005</v>
      </c>
      <c r="M9" s="31">
        <f t="shared" si="2"/>
        <v>5.8999999999999995</v>
      </c>
      <c r="N9" s="16"/>
      <c r="O9" s="53">
        <f t="shared" si="3"/>
        <v>10.399999999999999</v>
      </c>
      <c r="P9" s="57">
        <f t="shared" si="4"/>
        <v>22.25</v>
      </c>
    </row>
    <row r="10" spans="1:18">
      <c r="A10" s="79">
        <v>5</v>
      </c>
      <c r="B10" s="64" t="s">
        <v>31</v>
      </c>
      <c r="C10" s="26" t="s">
        <v>32</v>
      </c>
      <c r="D10" s="26" t="s">
        <v>33</v>
      </c>
      <c r="E10" s="46">
        <v>2001</v>
      </c>
      <c r="F10" s="50">
        <v>3.3</v>
      </c>
      <c r="G10" s="16">
        <f>AVERAGE(3.5,4,3.9,3.9)</f>
        <v>3.8250000000000002</v>
      </c>
      <c r="H10" s="31">
        <f t="shared" si="0"/>
        <v>6.1749999999999998</v>
      </c>
      <c r="I10" s="16"/>
      <c r="J10" s="53">
        <f t="shared" si="1"/>
        <v>9.4749999999999996</v>
      </c>
      <c r="K10" s="50">
        <v>3.2</v>
      </c>
      <c r="L10" s="16">
        <f>AVERAGE(2,2.2,2.6)</f>
        <v>2.2666666666666671</v>
      </c>
      <c r="M10" s="31">
        <f t="shared" si="2"/>
        <v>7.7333333333333325</v>
      </c>
      <c r="N10" s="16"/>
      <c r="O10" s="53">
        <f t="shared" si="3"/>
        <v>10.933333333333334</v>
      </c>
      <c r="P10" s="57">
        <f t="shared" si="4"/>
        <v>20.408333333333331</v>
      </c>
    </row>
    <row r="11" spans="1:18">
      <c r="A11" s="79">
        <v>6</v>
      </c>
      <c r="B11" s="64" t="s">
        <v>34</v>
      </c>
      <c r="C11" s="26" t="s">
        <v>29</v>
      </c>
      <c r="D11" s="26" t="s">
        <v>35</v>
      </c>
      <c r="E11" s="46">
        <v>1999</v>
      </c>
      <c r="F11" s="50">
        <v>3.5</v>
      </c>
      <c r="G11" s="16">
        <f>AVERAGE(2.2,2.5,2.6,1.8)</f>
        <v>2.2750000000000004</v>
      </c>
      <c r="H11" s="31">
        <f t="shared" si="0"/>
        <v>7.7249999999999996</v>
      </c>
      <c r="I11" s="16"/>
      <c r="J11" s="53">
        <f t="shared" si="1"/>
        <v>11.225</v>
      </c>
      <c r="K11" s="50">
        <v>3.2</v>
      </c>
      <c r="L11" s="16">
        <f>AVERAGE(4,4.4,4.5)</f>
        <v>4.3</v>
      </c>
      <c r="M11" s="31">
        <f t="shared" si="2"/>
        <v>5.7</v>
      </c>
      <c r="N11" s="16"/>
      <c r="O11" s="53">
        <f t="shared" si="3"/>
        <v>8.9</v>
      </c>
      <c r="P11" s="57">
        <f t="shared" si="4"/>
        <v>20.125</v>
      </c>
    </row>
    <row r="12" spans="1:18">
      <c r="A12" s="79">
        <v>7</v>
      </c>
      <c r="B12" s="65" t="s">
        <v>36</v>
      </c>
      <c r="C12" s="24" t="s">
        <v>32</v>
      </c>
      <c r="D12" s="24" t="s">
        <v>33</v>
      </c>
      <c r="E12" s="47">
        <v>2001</v>
      </c>
      <c r="F12" s="50">
        <v>1.7</v>
      </c>
      <c r="G12" s="16">
        <f>AVERAGE(3.8,4.1,3.8,3.9)</f>
        <v>3.9</v>
      </c>
      <c r="H12" s="31">
        <f t="shared" si="0"/>
        <v>6.1</v>
      </c>
      <c r="I12" s="16"/>
      <c r="J12" s="53">
        <f t="shared" si="1"/>
        <v>7.8</v>
      </c>
      <c r="K12" s="50">
        <v>3.1</v>
      </c>
      <c r="L12" s="16">
        <f>AVERAGE(3.4,2.9,3.4)</f>
        <v>3.2333333333333329</v>
      </c>
      <c r="M12" s="31">
        <f t="shared" si="2"/>
        <v>6.7666666666666675</v>
      </c>
      <c r="N12" s="16"/>
      <c r="O12" s="53">
        <f t="shared" si="3"/>
        <v>9.8666666666666671</v>
      </c>
      <c r="P12" s="57">
        <f t="shared" si="4"/>
        <v>17.666666666666668</v>
      </c>
    </row>
    <row r="13" spans="1:18">
      <c r="A13" s="79">
        <v>8</v>
      </c>
      <c r="B13" s="65" t="s">
        <v>37</v>
      </c>
      <c r="C13" s="24" t="s">
        <v>38</v>
      </c>
      <c r="D13" s="24" t="s">
        <v>39</v>
      </c>
      <c r="E13" s="47">
        <v>2000</v>
      </c>
      <c r="F13" s="50">
        <v>3.1</v>
      </c>
      <c r="G13" s="16">
        <f>AVERAGE(4.2,3.7,3.8,4.8)</f>
        <v>4.125</v>
      </c>
      <c r="H13" s="31">
        <f t="shared" si="0"/>
        <v>5.875</v>
      </c>
      <c r="I13" s="16"/>
      <c r="J13" s="53">
        <f t="shared" si="1"/>
        <v>8.9749999999999996</v>
      </c>
      <c r="K13" s="50">
        <v>2.9</v>
      </c>
      <c r="L13" s="16">
        <f>AVERAGE(5.7,5.4,5.6)</f>
        <v>5.5666666666666673</v>
      </c>
      <c r="M13" s="31">
        <f t="shared" si="2"/>
        <v>4.4333333333333327</v>
      </c>
      <c r="N13" s="16"/>
      <c r="O13" s="53">
        <f t="shared" si="3"/>
        <v>7.3333333333333321</v>
      </c>
      <c r="P13" s="57">
        <f t="shared" si="4"/>
        <v>16.30833333333333</v>
      </c>
    </row>
    <row r="14" spans="1:18" ht="13.5" thickBot="1">
      <c r="A14" s="145">
        <v>9</v>
      </c>
      <c r="B14" s="66" t="s">
        <v>40</v>
      </c>
      <c r="C14" s="39" t="s">
        <v>38</v>
      </c>
      <c r="D14" s="39" t="s">
        <v>39</v>
      </c>
      <c r="E14" s="48">
        <v>2000</v>
      </c>
      <c r="F14" s="51">
        <v>2.8</v>
      </c>
      <c r="G14" s="35">
        <f>AVERAGE(7,7.7,7,7.5)</f>
        <v>7.3</v>
      </c>
      <c r="H14" s="36">
        <f t="shared" si="0"/>
        <v>2.7</v>
      </c>
      <c r="I14" s="35"/>
      <c r="J14" s="54">
        <f t="shared" si="1"/>
        <v>5.5</v>
      </c>
      <c r="K14" s="51">
        <v>2.1</v>
      </c>
      <c r="L14" s="35">
        <f>AVERAGE(4.6,4.3,4.6)</f>
        <v>4.4999999999999991</v>
      </c>
      <c r="M14" s="36">
        <f t="shared" si="2"/>
        <v>5.5000000000000009</v>
      </c>
      <c r="N14" s="35"/>
      <c r="O14" s="54">
        <f t="shared" si="3"/>
        <v>7.6000000000000014</v>
      </c>
      <c r="P14" s="58">
        <f t="shared" si="4"/>
        <v>13.100000000000001</v>
      </c>
    </row>
  </sheetData>
  <sheetProtection selectLockedCells="1" selectUnlockedCells="1"/>
  <autoFilter ref="A5:P5">
    <sortState ref="A6:P15">
      <sortCondition descending="1" ref="P5"/>
    </sortState>
  </autoFilter>
  <mergeCells count="2">
    <mergeCell ref="F4:J4"/>
    <mergeCell ref="K4:O4"/>
  </mergeCells>
  <phoneticPr fontId="2" type="noConversion"/>
  <pageMargins left="0.31527777777777777" right="0.19652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16"/>
  <sheetViews>
    <sheetView zoomScaleNormal="100" workbookViewId="0">
      <selection activeCell="A16" sqref="A6:A16"/>
    </sheetView>
  </sheetViews>
  <sheetFormatPr defaultRowHeight="12.75"/>
  <cols>
    <col min="1" max="1" width="3.85546875" style="3" customWidth="1"/>
    <col min="2" max="2" width="18.140625" style="3" bestFit="1" customWidth="1"/>
    <col min="3" max="3" width="19.7109375" style="3" bestFit="1" customWidth="1"/>
    <col min="4" max="4" width="17" style="3" customWidth="1"/>
    <col min="5" max="5" width="5.140625" style="19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8" ht="26.25" customHeight="1">
      <c r="A1" s="2" t="s">
        <v>0</v>
      </c>
      <c r="D1" s="2"/>
      <c r="O1" s="2" t="s">
        <v>1</v>
      </c>
      <c r="P1" s="4"/>
    </row>
    <row r="2" spans="1:18">
      <c r="B2" s="6" t="s">
        <v>2</v>
      </c>
      <c r="D2" s="6" t="s">
        <v>41</v>
      </c>
    </row>
    <row r="3" spans="1:18" ht="13.5" thickBot="1">
      <c r="B3" s="7">
        <v>42528</v>
      </c>
      <c r="D3" s="3" t="s">
        <v>4</v>
      </c>
    </row>
    <row r="4" spans="1:18" ht="18.75" customHeight="1">
      <c r="A4" s="85"/>
      <c r="B4" s="32" t="s">
        <v>42</v>
      </c>
      <c r="C4" s="8" t="s">
        <v>43</v>
      </c>
      <c r="D4" s="23"/>
      <c r="E4" s="136"/>
      <c r="F4" s="156" t="s">
        <v>7</v>
      </c>
      <c r="G4" s="156"/>
      <c r="H4" s="156"/>
      <c r="I4" s="156"/>
      <c r="J4" s="156"/>
      <c r="K4" s="157" t="s">
        <v>8</v>
      </c>
      <c r="L4" s="157"/>
      <c r="M4" s="157"/>
      <c r="N4" s="157"/>
      <c r="O4" s="157"/>
      <c r="P4" s="10" t="s">
        <v>9</v>
      </c>
      <c r="R4" s="90"/>
    </row>
    <row r="5" spans="1:18" ht="13.5" customHeight="1" thickBot="1">
      <c r="A5" s="95" t="s">
        <v>10</v>
      </c>
      <c r="B5" s="33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29" t="s">
        <v>9</v>
      </c>
      <c r="K5" s="28" t="s">
        <v>15</v>
      </c>
      <c r="L5" s="28" t="s">
        <v>16</v>
      </c>
      <c r="M5" s="28" t="s">
        <v>17</v>
      </c>
      <c r="N5" s="28" t="s">
        <v>18</v>
      </c>
      <c r="O5" s="29" t="s">
        <v>9</v>
      </c>
      <c r="P5" s="30"/>
    </row>
    <row r="6" spans="1:18">
      <c r="A6" s="63">
        <v>1</v>
      </c>
      <c r="B6" s="65" t="s">
        <v>44</v>
      </c>
      <c r="C6" s="24" t="s">
        <v>23</v>
      </c>
      <c r="D6" s="24" t="s">
        <v>45</v>
      </c>
      <c r="E6" s="47">
        <v>2005</v>
      </c>
      <c r="F6" s="61">
        <v>4.3</v>
      </c>
      <c r="G6" s="14">
        <f>AVERAGE(3.3,2.5,2.9,2.6)</f>
        <v>2.8249999999999997</v>
      </c>
      <c r="H6" s="31">
        <f t="shared" ref="H6:H16" si="0">IF(ISBLANK(G6),"",10-G6)</f>
        <v>7.1750000000000007</v>
      </c>
      <c r="I6" s="16"/>
      <c r="J6" s="53">
        <f t="shared" ref="J6:J16" si="1">IF(ISBLANK(G6),"",F6+(10-G6)+I6)</f>
        <v>11.475000000000001</v>
      </c>
      <c r="K6" s="50">
        <v>4.0999999999999996</v>
      </c>
      <c r="L6" s="16">
        <f>AVERAGE(3.2,3.5,3.1,2.8)</f>
        <v>3.1500000000000004</v>
      </c>
      <c r="M6" s="31">
        <f t="shared" ref="M6:M16" si="2">IF(ISBLANK(L6),"",10-L6)</f>
        <v>6.85</v>
      </c>
      <c r="N6" s="16"/>
      <c r="O6" s="53">
        <f t="shared" ref="O6:O16" si="3">IF(ISBLANK(L6),"",K6+(10-L6)+N6)</f>
        <v>10.95</v>
      </c>
      <c r="P6" s="57">
        <f t="shared" ref="P6:P16" si="4">IF(ISBLANK(J6),"",IF(ISBLANK(O6),"",J6+O6))</f>
        <v>22.425000000000001</v>
      </c>
    </row>
    <row r="7" spans="1:18">
      <c r="A7" s="75">
        <v>2</v>
      </c>
      <c r="B7" s="65" t="s">
        <v>46</v>
      </c>
      <c r="C7" s="24" t="s">
        <v>23</v>
      </c>
      <c r="D7" s="24" t="s">
        <v>45</v>
      </c>
      <c r="E7" s="47">
        <v>2005</v>
      </c>
      <c r="F7" s="61">
        <v>3.1</v>
      </c>
      <c r="G7" s="14">
        <f>AVERAGE(3.3,3.1,2.7,2.7)</f>
        <v>2.95</v>
      </c>
      <c r="H7" s="31">
        <f t="shared" si="0"/>
        <v>7.05</v>
      </c>
      <c r="I7" s="16"/>
      <c r="J7" s="53">
        <f t="shared" si="1"/>
        <v>10.15</v>
      </c>
      <c r="K7" s="50">
        <v>3.3</v>
      </c>
      <c r="L7" s="16">
        <f>AVERAGE(3,2.9,3,2.8)</f>
        <v>2.9249999999999998</v>
      </c>
      <c r="M7" s="31">
        <f t="shared" si="2"/>
        <v>7.0750000000000002</v>
      </c>
      <c r="N7" s="16"/>
      <c r="O7" s="53">
        <f t="shared" si="3"/>
        <v>10.375</v>
      </c>
      <c r="P7" s="57">
        <f t="shared" si="4"/>
        <v>20.524999999999999</v>
      </c>
    </row>
    <row r="8" spans="1:18">
      <c r="A8" s="75">
        <v>3</v>
      </c>
      <c r="B8" s="64" t="s">
        <v>47</v>
      </c>
      <c r="C8" s="26" t="s">
        <v>26</v>
      </c>
      <c r="D8" s="27" t="s">
        <v>48</v>
      </c>
      <c r="E8" s="46">
        <v>2004</v>
      </c>
      <c r="F8" s="61">
        <v>3.9</v>
      </c>
      <c r="G8" s="14">
        <f>AVERAGE(3,3.2,3.5,3.6)</f>
        <v>3.3249999999999997</v>
      </c>
      <c r="H8" s="31">
        <f t="shared" si="0"/>
        <v>6.6750000000000007</v>
      </c>
      <c r="I8" s="16"/>
      <c r="J8" s="53">
        <f t="shared" si="1"/>
        <v>10.575000000000001</v>
      </c>
      <c r="K8" s="50">
        <v>3.7</v>
      </c>
      <c r="L8" s="16">
        <f>AVERAGE(4,4.1,3.8,3.8)</f>
        <v>3.9249999999999998</v>
      </c>
      <c r="M8" s="31">
        <f t="shared" si="2"/>
        <v>6.0750000000000002</v>
      </c>
      <c r="N8" s="16"/>
      <c r="O8" s="53">
        <f t="shared" si="3"/>
        <v>9.7750000000000004</v>
      </c>
      <c r="P8" s="57">
        <f t="shared" si="4"/>
        <v>20.350000000000001</v>
      </c>
    </row>
    <row r="9" spans="1:18">
      <c r="A9" s="75">
        <v>4</v>
      </c>
      <c r="B9" s="65" t="s">
        <v>49</v>
      </c>
      <c r="C9" s="24" t="s">
        <v>32</v>
      </c>
      <c r="D9" s="24" t="s">
        <v>50</v>
      </c>
      <c r="E9" s="47">
        <v>2005</v>
      </c>
      <c r="F9" s="61">
        <v>3</v>
      </c>
      <c r="G9" s="14">
        <f>AVERAGE(3.5,3.4,2.7,2.9)</f>
        <v>3.1250000000000004</v>
      </c>
      <c r="H9" s="31">
        <f t="shared" si="0"/>
        <v>6.875</v>
      </c>
      <c r="I9" s="16"/>
      <c r="J9" s="53">
        <f t="shared" si="1"/>
        <v>9.875</v>
      </c>
      <c r="K9" s="50">
        <v>3.2</v>
      </c>
      <c r="L9" s="16">
        <f>AVERAGE(3.4,2.9,3.6,2.8)</f>
        <v>3.1749999999999998</v>
      </c>
      <c r="M9" s="31">
        <f t="shared" si="2"/>
        <v>6.8250000000000002</v>
      </c>
      <c r="N9" s="16"/>
      <c r="O9" s="53">
        <f t="shared" si="3"/>
        <v>10.025</v>
      </c>
      <c r="P9" s="57">
        <f t="shared" si="4"/>
        <v>19.899999999999999</v>
      </c>
    </row>
    <row r="10" spans="1:18">
      <c r="A10" s="75">
        <v>5</v>
      </c>
      <c r="B10" s="65" t="s">
        <v>51</v>
      </c>
      <c r="C10" s="24" t="s">
        <v>32</v>
      </c>
      <c r="D10" s="24" t="s">
        <v>50</v>
      </c>
      <c r="E10" s="47">
        <v>2005</v>
      </c>
      <c r="F10" s="61">
        <v>3.1</v>
      </c>
      <c r="G10" s="14">
        <f>AVERAGE(3.2,3,3.6,3.6)</f>
        <v>3.35</v>
      </c>
      <c r="H10" s="31">
        <f t="shared" si="0"/>
        <v>6.65</v>
      </c>
      <c r="I10" s="16"/>
      <c r="J10" s="53">
        <f t="shared" si="1"/>
        <v>9.75</v>
      </c>
      <c r="K10" s="50">
        <v>2.7</v>
      </c>
      <c r="L10" s="16">
        <f>AVERAGE(3.4,3.5,3.3,3.5)</f>
        <v>3.4249999999999998</v>
      </c>
      <c r="M10" s="31">
        <f t="shared" si="2"/>
        <v>6.5750000000000002</v>
      </c>
      <c r="N10" s="16"/>
      <c r="O10" s="53">
        <f t="shared" si="3"/>
        <v>9.2750000000000004</v>
      </c>
      <c r="P10" s="57">
        <f t="shared" si="4"/>
        <v>19.024999999999999</v>
      </c>
    </row>
    <row r="11" spans="1:18">
      <c r="A11" s="75">
        <v>6</v>
      </c>
      <c r="B11" s="65" t="s">
        <v>52</v>
      </c>
      <c r="C11" s="24" t="s">
        <v>26</v>
      </c>
      <c r="D11" s="24" t="s">
        <v>48</v>
      </c>
      <c r="E11" s="47">
        <v>2005</v>
      </c>
      <c r="F11" s="61">
        <v>2.8</v>
      </c>
      <c r="G11" s="14">
        <f>AVERAGE(3.5,3.5,3.9,4.8)</f>
        <v>3.9249999999999998</v>
      </c>
      <c r="H11" s="31">
        <f t="shared" si="0"/>
        <v>6.0750000000000002</v>
      </c>
      <c r="I11" s="16"/>
      <c r="J11" s="53">
        <f t="shared" si="1"/>
        <v>8.875</v>
      </c>
      <c r="K11" s="50">
        <v>2.7</v>
      </c>
      <c r="L11" s="16">
        <f>AVERAGE(4.6,4.6,4.9,4.8)</f>
        <v>4.7249999999999996</v>
      </c>
      <c r="M11" s="31">
        <f t="shared" si="2"/>
        <v>5.2750000000000004</v>
      </c>
      <c r="N11" s="16"/>
      <c r="O11" s="53">
        <f t="shared" si="3"/>
        <v>7.9750000000000005</v>
      </c>
      <c r="P11" s="57">
        <f t="shared" si="4"/>
        <v>16.850000000000001</v>
      </c>
    </row>
    <row r="12" spans="1:18">
      <c r="A12" s="75">
        <v>7</v>
      </c>
      <c r="B12" s="65" t="s">
        <v>53</v>
      </c>
      <c r="C12" s="24" t="s">
        <v>54</v>
      </c>
      <c r="D12" s="24" t="s">
        <v>55</v>
      </c>
      <c r="E12" s="47">
        <v>2005</v>
      </c>
      <c r="F12" s="61">
        <v>3.3</v>
      </c>
      <c r="G12" s="14">
        <f>AVERAGE(3.5,3.3,2.8,2.7)</f>
        <v>3.0750000000000002</v>
      </c>
      <c r="H12" s="31">
        <f t="shared" si="0"/>
        <v>6.9249999999999998</v>
      </c>
      <c r="I12" s="16"/>
      <c r="J12" s="53">
        <f t="shared" si="1"/>
        <v>10.225</v>
      </c>
      <c r="K12" s="50">
        <v>3.1</v>
      </c>
      <c r="L12" s="16">
        <f>AVERAGE(6.7,6.7,6.5,6)</f>
        <v>6.4749999999999996</v>
      </c>
      <c r="M12" s="31">
        <f t="shared" si="2"/>
        <v>3.5250000000000004</v>
      </c>
      <c r="N12" s="16"/>
      <c r="O12" s="53">
        <f t="shared" si="3"/>
        <v>6.625</v>
      </c>
      <c r="P12" s="57">
        <f t="shared" si="4"/>
        <v>16.850000000000001</v>
      </c>
    </row>
    <row r="13" spans="1:18">
      <c r="A13" s="75">
        <v>8</v>
      </c>
      <c r="B13" s="65" t="s">
        <v>56</v>
      </c>
      <c r="C13" s="24" t="s">
        <v>32</v>
      </c>
      <c r="D13" s="24" t="s">
        <v>50</v>
      </c>
      <c r="E13" s="47">
        <v>2005</v>
      </c>
      <c r="F13" s="61">
        <v>2.2999999999999998</v>
      </c>
      <c r="G13" s="14">
        <f>AVERAGE(4.5,4.7,5,4.5)</f>
        <v>4.6749999999999998</v>
      </c>
      <c r="H13" s="31">
        <f t="shared" si="0"/>
        <v>5.3250000000000002</v>
      </c>
      <c r="I13" s="16"/>
      <c r="J13" s="53">
        <f t="shared" si="1"/>
        <v>7.625</v>
      </c>
      <c r="K13" s="50">
        <v>3.2</v>
      </c>
      <c r="L13" s="16">
        <f>AVERAGE(4.9,4.1,4.5,4)</f>
        <v>4.375</v>
      </c>
      <c r="M13" s="31">
        <f t="shared" si="2"/>
        <v>5.625</v>
      </c>
      <c r="N13" s="16"/>
      <c r="O13" s="53">
        <f t="shared" si="3"/>
        <v>8.8249999999999993</v>
      </c>
      <c r="P13" s="57">
        <f t="shared" si="4"/>
        <v>16.45</v>
      </c>
    </row>
    <row r="14" spans="1:18">
      <c r="A14" s="75">
        <v>9</v>
      </c>
      <c r="B14" s="65" t="s">
        <v>57</v>
      </c>
      <c r="C14" s="24" t="s">
        <v>32</v>
      </c>
      <c r="D14" s="24" t="s">
        <v>50</v>
      </c>
      <c r="E14" s="47">
        <v>2004</v>
      </c>
      <c r="F14" s="61">
        <v>2.4</v>
      </c>
      <c r="G14" s="14">
        <f>AVERAGE(4,4,3.6,3.6)</f>
        <v>3.8</v>
      </c>
      <c r="H14" s="31">
        <f t="shared" si="0"/>
        <v>6.2</v>
      </c>
      <c r="I14" s="16"/>
      <c r="J14" s="53">
        <f t="shared" si="1"/>
        <v>8.6</v>
      </c>
      <c r="K14" s="50">
        <v>2.7</v>
      </c>
      <c r="L14" s="16">
        <f>AVERAGE(5.2,4.9,4.9,4.7)</f>
        <v>4.9250000000000007</v>
      </c>
      <c r="M14" s="31">
        <f t="shared" si="2"/>
        <v>5.0749999999999993</v>
      </c>
      <c r="N14" s="16"/>
      <c r="O14" s="53">
        <f t="shared" si="3"/>
        <v>7.7749999999999995</v>
      </c>
      <c r="P14" s="57">
        <f t="shared" si="4"/>
        <v>16.375</v>
      </c>
    </row>
    <row r="15" spans="1:18">
      <c r="A15" s="75">
        <v>10</v>
      </c>
      <c r="B15" s="65" t="s">
        <v>58</v>
      </c>
      <c r="C15" s="24" t="s">
        <v>59</v>
      </c>
      <c r="D15" s="24" t="s">
        <v>60</v>
      </c>
      <c r="E15" s="47">
        <v>2005</v>
      </c>
      <c r="F15" s="61">
        <v>3.2</v>
      </c>
      <c r="G15" s="14">
        <f>AVERAGE(5.5,4.8,5.4,5.8)</f>
        <v>5.375</v>
      </c>
      <c r="H15" s="31">
        <f t="shared" si="0"/>
        <v>4.625</v>
      </c>
      <c r="I15" s="16"/>
      <c r="J15" s="53">
        <f t="shared" si="1"/>
        <v>7.8250000000000002</v>
      </c>
      <c r="K15" s="50">
        <v>3.3</v>
      </c>
      <c r="L15" s="16">
        <f>AVERAGE(4.7,4.7,5.1,4.8)</f>
        <v>4.8250000000000002</v>
      </c>
      <c r="M15" s="31">
        <f t="shared" si="2"/>
        <v>5.1749999999999998</v>
      </c>
      <c r="N15" s="16"/>
      <c r="O15" s="53">
        <f t="shared" si="3"/>
        <v>8.4749999999999996</v>
      </c>
      <c r="P15" s="57">
        <f t="shared" si="4"/>
        <v>16.3</v>
      </c>
    </row>
    <row r="16" spans="1:18" ht="13.5" thickBot="1">
      <c r="A16" s="84">
        <v>11</v>
      </c>
      <c r="B16" s="66" t="s">
        <v>61</v>
      </c>
      <c r="C16" s="39" t="s">
        <v>62</v>
      </c>
      <c r="D16" s="39" t="s">
        <v>63</v>
      </c>
      <c r="E16" s="48">
        <v>2005</v>
      </c>
      <c r="F16" s="62">
        <v>2.2999999999999998</v>
      </c>
      <c r="G16" s="45">
        <f>AVERAGE(5.5,5.8,4.7,4.8)</f>
        <v>5.2</v>
      </c>
      <c r="H16" s="36">
        <f t="shared" si="0"/>
        <v>4.8</v>
      </c>
      <c r="I16" s="35"/>
      <c r="J16" s="54">
        <f t="shared" si="1"/>
        <v>7.1</v>
      </c>
      <c r="K16" s="51">
        <v>2.5</v>
      </c>
      <c r="L16" s="35">
        <f>AVERAGE(6,6.2,6.4,6)</f>
        <v>6.15</v>
      </c>
      <c r="M16" s="36">
        <f t="shared" si="2"/>
        <v>3.8499999999999996</v>
      </c>
      <c r="N16" s="35"/>
      <c r="O16" s="54">
        <f t="shared" si="3"/>
        <v>6.35</v>
      </c>
      <c r="P16" s="58">
        <f t="shared" si="4"/>
        <v>13.45</v>
      </c>
    </row>
  </sheetData>
  <sheetProtection selectLockedCells="1" selectUnlockedCells="1"/>
  <autoFilter ref="A5:P5">
    <sortState ref="A6:P16">
      <sortCondition descending="1" ref="P5"/>
    </sortState>
  </autoFilter>
  <mergeCells count="2">
    <mergeCell ref="F4:J4"/>
    <mergeCell ref="K4:O4"/>
  </mergeCells>
  <phoneticPr fontId="2" type="noConversion"/>
  <pageMargins left="0.31527777777777777" right="0.19652777777777777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S26"/>
  <sheetViews>
    <sheetView zoomScaleNormal="100" workbookViewId="0">
      <selection activeCell="H17" sqref="H17"/>
    </sheetView>
  </sheetViews>
  <sheetFormatPr defaultRowHeight="12.75"/>
  <cols>
    <col min="1" max="1" width="3.85546875" style="3" customWidth="1"/>
    <col min="2" max="2" width="19.85546875" style="3" customWidth="1"/>
    <col min="3" max="3" width="15.85546875" style="3" bestFit="1" customWidth="1"/>
    <col min="4" max="4" width="17" style="3" customWidth="1"/>
    <col min="5" max="5" width="5.42578125" style="19" customWidth="1"/>
    <col min="6" max="9" width="6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6" customWidth="1"/>
    <col min="17" max="16384" width="9.140625" style="3"/>
  </cols>
  <sheetData>
    <row r="1" spans="1:19" ht="26.25" customHeight="1">
      <c r="A1" s="2" t="s">
        <v>0</v>
      </c>
      <c r="D1" s="2"/>
      <c r="O1" s="2" t="s">
        <v>1</v>
      </c>
      <c r="P1" s="4"/>
    </row>
    <row r="2" spans="1:19">
      <c r="B2" s="6" t="s">
        <v>2</v>
      </c>
      <c r="D2" s="6" t="s">
        <v>41</v>
      </c>
    </row>
    <row r="3" spans="1:19" ht="13.5" thickBot="1">
      <c r="B3" s="7">
        <v>42497</v>
      </c>
      <c r="D3" s="3" t="s">
        <v>4</v>
      </c>
    </row>
    <row r="4" spans="1:19" ht="18.75" customHeight="1">
      <c r="A4" s="85"/>
      <c r="B4" s="32" t="s">
        <v>64</v>
      </c>
      <c r="C4" s="8" t="s">
        <v>65</v>
      </c>
      <c r="D4" s="23"/>
      <c r="E4" s="136"/>
      <c r="F4" s="156" t="s">
        <v>7</v>
      </c>
      <c r="G4" s="156"/>
      <c r="H4" s="156"/>
      <c r="I4" s="156"/>
      <c r="J4" s="156"/>
      <c r="K4" s="157" t="s">
        <v>8</v>
      </c>
      <c r="L4" s="157"/>
      <c r="M4" s="157"/>
      <c r="N4" s="157"/>
      <c r="O4" s="157"/>
      <c r="P4" s="10" t="s">
        <v>9</v>
      </c>
      <c r="S4" s="90"/>
    </row>
    <row r="5" spans="1:19" ht="13.5" customHeight="1" thickBot="1">
      <c r="A5" s="95" t="s">
        <v>10</v>
      </c>
      <c r="B5" s="33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29" t="s">
        <v>9</v>
      </c>
      <c r="K5" s="28" t="s">
        <v>15</v>
      </c>
      <c r="L5" s="28" t="s">
        <v>16</v>
      </c>
      <c r="M5" s="28" t="s">
        <v>17</v>
      </c>
      <c r="N5" s="28" t="s">
        <v>18</v>
      </c>
      <c r="O5" s="29" t="s">
        <v>9</v>
      </c>
      <c r="P5" s="30"/>
    </row>
    <row r="6" spans="1:19" ht="13.5" customHeight="1">
      <c r="A6" s="63">
        <v>1</v>
      </c>
      <c r="B6" s="71" t="s">
        <v>66</v>
      </c>
      <c r="C6" s="44" t="s">
        <v>54</v>
      </c>
      <c r="D6" s="44" t="s">
        <v>55</v>
      </c>
      <c r="E6" s="68">
        <v>2006</v>
      </c>
      <c r="F6" s="60">
        <v>4.4000000000000004</v>
      </c>
      <c r="G6" s="37">
        <f>AVERAGE(1.9,1.8,1.8,1.9)</f>
        <v>1.85</v>
      </c>
      <c r="H6" s="38">
        <f t="shared" ref="H6:H26" si="0">IF(ISBLANK(G6),"",10-G6)</f>
        <v>8.15</v>
      </c>
      <c r="I6" s="37"/>
      <c r="J6" s="52">
        <f t="shared" ref="J6:J26" si="1">IF(ISBLANK(G6),"",F6+(10-G6)+I6)</f>
        <v>12.55</v>
      </c>
      <c r="K6" s="49">
        <v>3.8</v>
      </c>
      <c r="L6" s="37">
        <f>AVERAGE(1.7,1.9,2.1,1.4)</f>
        <v>1.7749999999999999</v>
      </c>
      <c r="M6" s="38">
        <f t="shared" ref="M6:M26" si="2">IF(ISBLANK(L6),"",10-L6)</f>
        <v>8.2249999999999996</v>
      </c>
      <c r="N6" s="37"/>
      <c r="O6" s="52">
        <f t="shared" ref="O6:O26" si="3">IF(ISBLANK(L6),"",K6+(10-L6)+N6)</f>
        <v>12.024999999999999</v>
      </c>
      <c r="P6" s="59">
        <f t="shared" ref="P6:P26" si="4">IF(ISBLANK(J6),"",IF(ISBLANK(O6),"",J6+O6))</f>
        <v>24.574999999999999</v>
      </c>
    </row>
    <row r="7" spans="1:19" ht="13.5" customHeight="1">
      <c r="A7" s="75">
        <v>2</v>
      </c>
      <c r="B7" s="65" t="s">
        <v>67</v>
      </c>
      <c r="C7" s="24" t="s">
        <v>26</v>
      </c>
      <c r="D7" s="24" t="s">
        <v>48</v>
      </c>
      <c r="E7" s="47">
        <v>2006</v>
      </c>
      <c r="F7" s="61">
        <v>4.2</v>
      </c>
      <c r="G7" s="14">
        <f>AVERAGE(1.4,1.9,1.7,1.4)</f>
        <v>1.6</v>
      </c>
      <c r="H7" s="31">
        <f t="shared" si="0"/>
        <v>8.4</v>
      </c>
      <c r="I7" s="16"/>
      <c r="J7" s="53">
        <f t="shared" si="1"/>
        <v>12.600000000000001</v>
      </c>
      <c r="K7" s="50">
        <v>3.8</v>
      </c>
      <c r="L7" s="16">
        <f>AVERAGE(4,4.1,4,4.3)</f>
        <v>4.0999999999999996</v>
      </c>
      <c r="M7" s="31">
        <f t="shared" si="2"/>
        <v>5.9</v>
      </c>
      <c r="N7" s="16"/>
      <c r="O7" s="53">
        <f t="shared" si="3"/>
        <v>9.6999999999999993</v>
      </c>
      <c r="P7" s="57">
        <f t="shared" si="4"/>
        <v>22.3</v>
      </c>
    </row>
    <row r="8" spans="1:19" ht="13.5" customHeight="1">
      <c r="A8" s="75">
        <v>3</v>
      </c>
      <c r="B8" s="65" t="s">
        <v>68</v>
      </c>
      <c r="C8" s="24" t="s">
        <v>69</v>
      </c>
      <c r="D8" s="24" t="s">
        <v>70</v>
      </c>
      <c r="E8" s="47">
        <v>2007</v>
      </c>
      <c r="F8" s="61">
        <v>4</v>
      </c>
      <c r="G8" s="14">
        <f>AVERAGE(3.6,3.5,3.5,3.6)</f>
        <v>3.55</v>
      </c>
      <c r="H8" s="31">
        <f t="shared" si="0"/>
        <v>6.45</v>
      </c>
      <c r="I8" s="16"/>
      <c r="J8" s="53">
        <f t="shared" si="1"/>
        <v>10.45</v>
      </c>
      <c r="K8" s="50">
        <v>3.8</v>
      </c>
      <c r="L8" s="16">
        <f>AVERAGE(2.3,2.1,2.8,2.2)</f>
        <v>2.35</v>
      </c>
      <c r="M8" s="31">
        <f t="shared" si="2"/>
        <v>7.65</v>
      </c>
      <c r="N8" s="16"/>
      <c r="O8" s="53">
        <f t="shared" si="3"/>
        <v>11.45</v>
      </c>
      <c r="P8" s="57">
        <f t="shared" si="4"/>
        <v>21.9</v>
      </c>
    </row>
    <row r="9" spans="1:19" ht="13.5" customHeight="1">
      <c r="A9" s="75">
        <v>4</v>
      </c>
      <c r="B9" s="65" t="s">
        <v>71</v>
      </c>
      <c r="C9" s="24" t="s">
        <v>32</v>
      </c>
      <c r="D9" s="24" t="s">
        <v>33</v>
      </c>
      <c r="E9" s="47">
        <v>2006</v>
      </c>
      <c r="F9" s="61">
        <v>4.4000000000000004</v>
      </c>
      <c r="G9" s="14">
        <f>AVERAGE(3.5,3.5,3,3.6)</f>
        <v>3.4</v>
      </c>
      <c r="H9" s="31">
        <f t="shared" si="0"/>
        <v>6.6</v>
      </c>
      <c r="I9" s="16"/>
      <c r="J9" s="53">
        <f t="shared" si="1"/>
        <v>11</v>
      </c>
      <c r="K9" s="50">
        <v>3.6</v>
      </c>
      <c r="L9" s="16">
        <f>AVERAGE(3.2,3.5,3.1,3)</f>
        <v>3.2</v>
      </c>
      <c r="M9" s="31">
        <f t="shared" si="2"/>
        <v>6.8</v>
      </c>
      <c r="N9" s="16"/>
      <c r="O9" s="53">
        <f t="shared" si="3"/>
        <v>10.4</v>
      </c>
      <c r="P9" s="57">
        <f t="shared" si="4"/>
        <v>21.4</v>
      </c>
    </row>
    <row r="10" spans="1:19" ht="13.5" customHeight="1">
      <c r="A10" s="75">
        <v>5</v>
      </c>
      <c r="B10" s="64" t="s">
        <v>72</v>
      </c>
      <c r="C10" s="26" t="s">
        <v>73</v>
      </c>
      <c r="D10" s="26" t="s">
        <v>74</v>
      </c>
      <c r="E10" s="46">
        <v>2006</v>
      </c>
      <c r="F10" s="61">
        <v>3.3</v>
      </c>
      <c r="G10" s="14">
        <f>AVERAGE(2.2,2.3,1.8,2.2)</f>
        <v>2.125</v>
      </c>
      <c r="H10" s="31">
        <f t="shared" si="0"/>
        <v>7.875</v>
      </c>
      <c r="I10" s="16"/>
      <c r="J10" s="53">
        <f t="shared" si="1"/>
        <v>11.175000000000001</v>
      </c>
      <c r="K10" s="50">
        <v>2.6</v>
      </c>
      <c r="L10" s="16">
        <f>AVERAGE(2.9,3.2,2.7,2.5)</f>
        <v>2.8250000000000002</v>
      </c>
      <c r="M10" s="31">
        <f t="shared" si="2"/>
        <v>7.1749999999999998</v>
      </c>
      <c r="N10" s="16"/>
      <c r="O10" s="53">
        <f t="shared" si="3"/>
        <v>9.7750000000000004</v>
      </c>
      <c r="P10" s="57">
        <f t="shared" si="4"/>
        <v>20.950000000000003</v>
      </c>
    </row>
    <row r="11" spans="1:19" ht="13.5" customHeight="1">
      <c r="A11" s="75">
        <v>6</v>
      </c>
      <c r="B11" s="65" t="s">
        <v>75</v>
      </c>
      <c r="C11" s="24" t="s">
        <v>76</v>
      </c>
      <c r="D11" s="25" t="s">
        <v>77</v>
      </c>
      <c r="E11" s="47">
        <v>2006</v>
      </c>
      <c r="F11" s="61">
        <v>3.1</v>
      </c>
      <c r="G11" s="14">
        <f>AVERAGE(3,2.7,3.1,3.1)</f>
        <v>2.9750000000000001</v>
      </c>
      <c r="H11" s="31">
        <f t="shared" si="0"/>
        <v>7.0250000000000004</v>
      </c>
      <c r="I11" s="16"/>
      <c r="J11" s="53">
        <f t="shared" si="1"/>
        <v>10.125</v>
      </c>
      <c r="K11" s="50">
        <v>3.4</v>
      </c>
      <c r="L11" s="16">
        <f>AVERAGE(2.6,3.1,3.3,2.8)</f>
        <v>2.95</v>
      </c>
      <c r="M11" s="31">
        <f t="shared" si="2"/>
        <v>7.05</v>
      </c>
      <c r="N11" s="16"/>
      <c r="O11" s="53">
        <f t="shared" si="3"/>
        <v>10.45</v>
      </c>
      <c r="P11" s="57">
        <f t="shared" si="4"/>
        <v>20.574999999999999</v>
      </c>
    </row>
    <row r="12" spans="1:19" ht="13.5" customHeight="1">
      <c r="A12" s="75">
        <v>7</v>
      </c>
      <c r="B12" s="64" t="s">
        <v>78</v>
      </c>
      <c r="C12" s="26" t="s">
        <v>76</v>
      </c>
      <c r="D12" s="27" t="s">
        <v>77</v>
      </c>
      <c r="E12" s="46">
        <v>2006</v>
      </c>
      <c r="F12" s="61">
        <v>3.1</v>
      </c>
      <c r="G12" s="14">
        <f>AVERAGE(3.1,2.7,2.5,2.7)</f>
        <v>2.75</v>
      </c>
      <c r="H12" s="31">
        <f t="shared" si="0"/>
        <v>7.25</v>
      </c>
      <c r="I12" s="16"/>
      <c r="J12" s="53">
        <f t="shared" si="1"/>
        <v>10.35</v>
      </c>
      <c r="K12" s="50">
        <v>3.4</v>
      </c>
      <c r="L12" s="16">
        <f>AVERAGE(3.2,3.6,3.4,3.5)</f>
        <v>3.4250000000000003</v>
      </c>
      <c r="M12" s="31">
        <f t="shared" si="2"/>
        <v>6.5749999999999993</v>
      </c>
      <c r="N12" s="16"/>
      <c r="O12" s="53">
        <f t="shared" si="3"/>
        <v>9.9749999999999996</v>
      </c>
      <c r="P12" s="57">
        <f t="shared" si="4"/>
        <v>20.324999999999999</v>
      </c>
    </row>
    <row r="13" spans="1:19" ht="13.5" customHeight="1">
      <c r="A13" s="75">
        <v>8</v>
      </c>
      <c r="B13" s="65" t="s">
        <v>79</v>
      </c>
      <c r="C13" s="24" t="s">
        <v>80</v>
      </c>
      <c r="D13" s="24"/>
      <c r="E13" s="47">
        <v>2006</v>
      </c>
      <c r="F13" s="61">
        <v>3.3</v>
      </c>
      <c r="G13" s="14">
        <f>AVERAGE(3.9,3.7,3.5,3.9)</f>
        <v>3.75</v>
      </c>
      <c r="H13" s="31">
        <f t="shared" si="0"/>
        <v>6.25</v>
      </c>
      <c r="I13" s="16"/>
      <c r="J13" s="53">
        <f t="shared" si="1"/>
        <v>9.5500000000000007</v>
      </c>
      <c r="K13" s="50">
        <v>3.6</v>
      </c>
      <c r="L13" s="16">
        <f>AVERAGE(3.6,3.7,3.5,3.2)</f>
        <v>3.5</v>
      </c>
      <c r="M13" s="31">
        <f t="shared" si="2"/>
        <v>6.5</v>
      </c>
      <c r="N13" s="16"/>
      <c r="O13" s="53">
        <f t="shared" si="3"/>
        <v>10.1</v>
      </c>
      <c r="P13" s="57">
        <f t="shared" si="4"/>
        <v>19.649999999999999</v>
      </c>
    </row>
    <row r="14" spans="1:19" ht="13.5" customHeight="1">
      <c r="A14" s="75">
        <v>9</v>
      </c>
      <c r="B14" s="65" t="s">
        <v>81</v>
      </c>
      <c r="C14" s="24" t="s">
        <v>80</v>
      </c>
      <c r="D14" s="24"/>
      <c r="E14" s="47">
        <v>2006</v>
      </c>
      <c r="F14" s="61">
        <v>3.5</v>
      </c>
      <c r="G14" s="14">
        <f>AVERAGE(4.1,3.4,4.2,3.2)</f>
        <v>3.7249999999999996</v>
      </c>
      <c r="H14" s="31">
        <f t="shared" si="0"/>
        <v>6.2750000000000004</v>
      </c>
      <c r="I14" s="16"/>
      <c r="J14" s="53">
        <f t="shared" si="1"/>
        <v>9.7750000000000004</v>
      </c>
      <c r="K14" s="50">
        <v>2.9</v>
      </c>
      <c r="L14" s="16">
        <f>AVERAGE(3,3.3,3.1,3)</f>
        <v>3.1</v>
      </c>
      <c r="M14" s="31">
        <f t="shared" si="2"/>
        <v>6.9</v>
      </c>
      <c r="N14" s="16"/>
      <c r="O14" s="53">
        <f t="shared" si="3"/>
        <v>9.8000000000000007</v>
      </c>
      <c r="P14" s="57">
        <f t="shared" si="4"/>
        <v>19.575000000000003</v>
      </c>
    </row>
    <row r="15" spans="1:19">
      <c r="A15" s="75">
        <v>10</v>
      </c>
      <c r="B15" s="65" t="s">
        <v>82</v>
      </c>
      <c r="C15" s="24" t="s">
        <v>26</v>
      </c>
      <c r="D15" s="24" t="s">
        <v>48</v>
      </c>
      <c r="E15" s="47">
        <v>2006</v>
      </c>
      <c r="F15" s="61">
        <v>3.4</v>
      </c>
      <c r="G15" s="14">
        <f>AVERAGE(2.5,2.9,2.8,2.6)</f>
        <v>2.6999999999999997</v>
      </c>
      <c r="H15" s="31">
        <f t="shared" si="0"/>
        <v>7.3000000000000007</v>
      </c>
      <c r="I15" s="16"/>
      <c r="J15" s="53">
        <f t="shared" si="1"/>
        <v>10.700000000000001</v>
      </c>
      <c r="K15" s="50">
        <v>2.8</v>
      </c>
      <c r="L15" s="16">
        <f>AVERAGE(3.9,4,3.7,4.5)</f>
        <v>4.0250000000000004</v>
      </c>
      <c r="M15" s="31">
        <f t="shared" si="2"/>
        <v>5.9749999999999996</v>
      </c>
      <c r="N15" s="16"/>
      <c r="O15" s="53">
        <f t="shared" si="3"/>
        <v>8.7749999999999986</v>
      </c>
      <c r="P15" s="57">
        <f t="shared" si="4"/>
        <v>19.475000000000001</v>
      </c>
    </row>
    <row r="16" spans="1:19">
      <c r="A16" s="75">
        <v>11</v>
      </c>
      <c r="B16" s="65" t="s">
        <v>83</v>
      </c>
      <c r="C16" s="24" t="s">
        <v>84</v>
      </c>
      <c r="D16" s="24"/>
      <c r="E16" s="47">
        <v>2007</v>
      </c>
      <c r="F16" s="61">
        <v>2.4</v>
      </c>
      <c r="G16" s="14">
        <f>AVERAGE(3.3,3.3,3.3,3.3)</f>
        <v>3.3</v>
      </c>
      <c r="H16" s="31">
        <f t="shared" si="0"/>
        <v>6.7</v>
      </c>
      <c r="I16" s="16"/>
      <c r="J16" s="53">
        <f t="shared" si="1"/>
        <v>9.1</v>
      </c>
      <c r="K16" s="50">
        <v>3.1</v>
      </c>
      <c r="L16" s="16">
        <f>AVERAGE(3,2.9,2.8,2.8)</f>
        <v>2.875</v>
      </c>
      <c r="M16" s="31">
        <f t="shared" si="2"/>
        <v>7.125</v>
      </c>
      <c r="N16" s="16"/>
      <c r="O16" s="53">
        <f t="shared" si="3"/>
        <v>10.225</v>
      </c>
      <c r="P16" s="57">
        <f t="shared" si="4"/>
        <v>19.324999999999999</v>
      </c>
    </row>
    <row r="17" spans="1:16">
      <c r="A17" s="75">
        <v>12</v>
      </c>
      <c r="B17" s="64" t="s">
        <v>85</v>
      </c>
      <c r="C17" s="26" t="s">
        <v>69</v>
      </c>
      <c r="D17" s="26" t="s">
        <v>70</v>
      </c>
      <c r="E17" s="46">
        <v>2007</v>
      </c>
      <c r="F17" s="61">
        <v>3.3</v>
      </c>
      <c r="G17" s="14">
        <f>AVERAGE(4.6,4.1,3.5,4)</f>
        <v>4.05</v>
      </c>
      <c r="H17" s="31">
        <f t="shared" si="0"/>
        <v>5.95</v>
      </c>
      <c r="I17" s="16"/>
      <c r="J17" s="53">
        <f t="shared" si="1"/>
        <v>9.25</v>
      </c>
      <c r="K17" s="50">
        <v>3.6</v>
      </c>
      <c r="L17" s="16">
        <f>AVERAGE(4,4.7,4.5,4.5)</f>
        <v>4.4249999999999998</v>
      </c>
      <c r="M17" s="31">
        <f t="shared" si="2"/>
        <v>5.5750000000000002</v>
      </c>
      <c r="N17" s="16"/>
      <c r="O17" s="53">
        <f t="shared" si="3"/>
        <v>9.1750000000000007</v>
      </c>
      <c r="P17" s="57">
        <f t="shared" si="4"/>
        <v>18.425000000000001</v>
      </c>
    </row>
    <row r="18" spans="1:16">
      <c r="A18" s="75">
        <v>13</v>
      </c>
      <c r="B18" s="64" t="s">
        <v>86</v>
      </c>
      <c r="C18" s="26" t="s">
        <v>76</v>
      </c>
      <c r="D18" s="26" t="s">
        <v>77</v>
      </c>
      <c r="E18" s="46">
        <v>2006</v>
      </c>
      <c r="F18" s="61">
        <v>2.6</v>
      </c>
      <c r="G18" s="14">
        <f>AVERAGE(3.3,3.2,3.1,2.6)</f>
        <v>3.05</v>
      </c>
      <c r="H18" s="31">
        <f t="shared" si="0"/>
        <v>6.95</v>
      </c>
      <c r="I18" s="16"/>
      <c r="J18" s="53">
        <f t="shared" si="1"/>
        <v>9.5500000000000007</v>
      </c>
      <c r="K18" s="50">
        <v>2.1</v>
      </c>
      <c r="L18" s="16">
        <f>AVERAGE(3.8,3.6,3.3,3)</f>
        <v>3.4249999999999998</v>
      </c>
      <c r="M18" s="31">
        <f t="shared" si="2"/>
        <v>6.5750000000000002</v>
      </c>
      <c r="N18" s="16"/>
      <c r="O18" s="53">
        <f t="shared" si="3"/>
        <v>8.6750000000000007</v>
      </c>
      <c r="P18" s="57">
        <f t="shared" si="4"/>
        <v>18.225000000000001</v>
      </c>
    </row>
    <row r="19" spans="1:16">
      <c r="A19" s="75">
        <v>14</v>
      </c>
      <c r="B19" s="65" t="s">
        <v>87</v>
      </c>
      <c r="C19" s="24" t="s">
        <v>26</v>
      </c>
      <c r="D19" s="24" t="s">
        <v>48</v>
      </c>
      <c r="E19" s="47">
        <v>2007</v>
      </c>
      <c r="F19" s="61">
        <v>3.4</v>
      </c>
      <c r="G19" s="14">
        <f>AVERAGE(3,3.2,3.4,3.4)</f>
        <v>3.25</v>
      </c>
      <c r="H19" s="31">
        <f t="shared" si="0"/>
        <v>6.75</v>
      </c>
      <c r="I19" s="16"/>
      <c r="J19" s="53">
        <f t="shared" si="1"/>
        <v>10.15</v>
      </c>
      <c r="K19" s="50">
        <v>2.9</v>
      </c>
      <c r="L19" s="16">
        <f>AVERAGE(5.5,5.1,5.1,5.3)</f>
        <v>5.25</v>
      </c>
      <c r="M19" s="31">
        <f t="shared" si="2"/>
        <v>4.75</v>
      </c>
      <c r="N19" s="16"/>
      <c r="O19" s="53">
        <f t="shared" si="3"/>
        <v>7.65</v>
      </c>
      <c r="P19" s="57">
        <f t="shared" si="4"/>
        <v>17.8</v>
      </c>
    </row>
    <row r="20" spans="1:16">
      <c r="A20" s="75">
        <v>15</v>
      </c>
      <c r="B20" s="65" t="s">
        <v>88</v>
      </c>
      <c r="C20" s="24" t="s">
        <v>26</v>
      </c>
      <c r="D20" s="24" t="s">
        <v>48</v>
      </c>
      <c r="E20" s="47">
        <v>2007</v>
      </c>
      <c r="F20" s="61">
        <v>3.4</v>
      </c>
      <c r="G20" s="14">
        <f>AVERAGE(3.5,4,3.9,3.5)</f>
        <v>3.7250000000000001</v>
      </c>
      <c r="H20" s="31">
        <f t="shared" si="0"/>
        <v>6.2750000000000004</v>
      </c>
      <c r="I20" s="16"/>
      <c r="J20" s="53">
        <f t="shared" si="1"/>
        <v>9.6750000000000007</v>
      </c>
      <c r="K20" s="50">
        <v>1.9</v>
      </c>
      <c r="L20" s="16">
        <f>AVERAGE(4,3.8,4.1,4)</f>
        <v>3.9749999999999996</v>
      </c>
      <c r="M20" s="31">
        <f t="shared" si="2"/>
        <v>6.0250000000000004</v>
      </c>
      <c r="N20" s="16"/>
      <c r="O20" s="53">
        <f t="shared" si="3"/>
        <v>7.9250000000000007</v>
      </c>
      <c r="P20" s="57">
        <f t="shared" si="4"/>
        <v>17.600000000000001</v>
      </c>
    </row>
    <row r="21" spans="1:16">
      <c r="A21" s="75">
        <v>16</v>
      </c>
      <c r="B21" s="64" t="s">
        <v>89</v>
      </c>
      <c r="C21" s="26" t="s">
        <v>90</v>
      </c>
      <c r="D21" s="27" t="s">
        <v>91</v>
      </c>
      <c r="E21" s="46">
        <v>2007</v>
      </c>
      <c r="F21" s="61">
        <v>2.4</v>
      </c>
      <c r="G21" s="14">
        <f>AVERAGE(3,3.5,2.8,2.9)</f>
        <v>3.0500000000000003</v>
      </c>
      <c r="H21" s="31">
        <f t="shared" si="0"/>
        <v>6.9499999999999993</v>
      </c>
      <c r="I21" s="16"/>
      <c r="J21" s="53">
        <f t="shared" si="1"/>
        <v>9.35</v>
      </c>
      <c r="K21" s="50">
        <v>2.7</v>
      </c>
      <c r="L21" s="16">
        <f>AVERAGE(5.2,4.8,5.2,4.8)</f>
        <v>5</v>
      </c>
      <c r="M21" s="31">
        <f t="shared" si="2"/>
        <v>5</v>
      </c>
      <c r="N21" s="16"/>
      <c r="O21" s="53">
        <f t="shared" si="3"/>
        <v>7.7</v>
      </c>
      <c r="P21" s="57">
        <f t="shared" si="4"/>
        <v>17.05</v>
      </c>
    </row>
    <row r="22" spans="1:16">
      <c r="A22" s="75">
        <v>17</v>
      </c>
      <c r="B22" s="64" t="s">
        <v>92</v>
      </c>
      <c r="C22" s="26" t="s">
        <v>90</v>
      </c>
      <c r="D22" s="24" t="s">
        <v>91</v>
      </c>
      <c r="E22" s="47">
        <v>2006</v>
      </c>
      <c r="F22" s="61">
        <v>3</v>
      </c>
      <c r="G22" s="14">
        <f>AVERAGE(3.9,4.5,3.2,3.5)</f>
        <v>3.7750000000000004</v>
      </c>
      <c r="H22" s="31">
        <f t="shared" si="0"/>
        <v>6.2249999999999996</v>
      </c>
      <c r="I22" s="16">
        <v>-2</v>
      </c>
      <c r="J22" s="53">
        <f t="shared" si="1"/>
        <v>7.2249999999999996</v>
      </c>
      <c r="K22" s="50">
        <v>2.9</v>
      </c>
      <c r="L22" s="16">
        <f>AVERAGE(3.5,3.2,3.1,3.2)</f>
        <v>3.25</v>
      </c>
      <c r="M22" s="31">
        <f t="shared" si="2"/>
        <v>6.75</v>
      </c>
      <c r="N22" s="16"/>
      <c r="O22" s="53">
        <f t="shared" si="3"/>
        <v>9.65</v>
      </c>
      <c r="P22" s="57">
        <f t="shared" si="4"/>
        <v>16.875</v>
      </c>
    </row>
    <row r="23" spans="1:16">
      <c r="A23" s="75">
        <v>18</v>
      </c>
      <c r="B23" s="64" t="s">
        <v>93</v>
      </c>
      <c r="C23" s="26" t="s">
        <v>90</v>
      </c>
      <c r="D23" s="26" t="s">
        <v>91</v>
      </c>
      <c r="E23" s="46">
        <v>2006</v>
      </c>
      <c r="F23" s="61">
        <v>3</v>
      </c>
      <c r="G23" s="14">
        <f>AVERAGE(3,3.7,2.8,2.8)</f>
        <v>3.0750000000000002</v>
      </c>
      <c r="H23" s="31">
        <f t="shared" si="0"/>
        <v>6.9249999999999998</v>
      </c>
      <c r="I23" s="16">
        <v>-2</v>
      </c>
      <c r="J23" s="53">
        <f t="shared" si="1"/>
        <v>7.9250000000000007</v>
      </c>
      <c r="K23" s="50">
        <v>2.8</v>
      </c>
      <c r="L23" s="16">
        <f>AVERAGE(4.5,4.2,4.1,4.5)</f>
        <v>4.3249999999999993</v>
      </c>
      <c r="M23" s="31">
        <f t="shared" si="2"/>
        <v>5.6750000000000007</v>
      </c>
      <c r="N23" s="16"/>
      <c r="O23" s="53">
        <f t="shared" si="3"/>
        <v>8.4750000000000014</v>
      </c>
      <c r="P23" s="57">
        <f t="shared" si="4"/>
        <v>16.400000000000002</v>
      </c>
    </row>
    <row r="24" spans="1:16">
      <c r="A24" s="75">
        <v>19</v>
      </c>
      <c r="B24" s="65" t="s">
        <v>94</v>
      </c>
      <c r="C24" s="24" t="s">
        <v>84</v>
      </c>
      <c r="D24" s="24"/>
      <c r="E24" s="47">
        <v>2006</v>
      </c>
      <c r="F24" s="61">
        <v>2.9</v>
      </c>
      <c r="G24" s="14">
        <f>AVERAGE(2.6,2.7,2.2,2.3)</f>
        <v>2.4500000000000002</v>
      </c>
      <c r="H24" s="31">
        <f t="shared" si="0"/>
        <v>7.55</v>
      </c>
      <c r="I24" s="16"/>
      <c r="J24" s="53">
        <f t="shared" si="1"/>
        <v>10.45</v>
      </c>
      <c r="K24" s="50">
        <v>3</v>
      </c>
      <c r="L24" s="16">
        <f>AVERAGE(4.2,4.2,3.8,3.8)</f>
        <v>4</v>
      </c>
      <c r="M24" s="31">
        <f t="shared" si="2"/>
        <v>6</v>
      </c>
      <c r="N24" s="16">
        <v>-4</v>
      </c>
      <c r="O24" s="53">
        <f t="shared" si="3"/>
        <v>5</v>
      </c>
      <c r="P24" s="57">
        <f t="shared" si="4"/>
        <v>15.45</v>
      </c>
    </row>
    <row r="25" spans="1:16">
      <c r="A25" s="75">
        <v>20</v>
      </c>
      <c r="B25" s="65" t="s">
        <v>95</v>
      </c>
      <c r="C25" s="24" t="s">
        <v>84</v>
      </c>
      <c r="D25" s="25"/>
      <c r="E25" s="47">
        <v>2007</v>
      </c>
      <c r="F25" s="61">
        <v>3.3</v>
      </c>
      <c r="G25" s="14">
        <f>AVERAGE(4.2,4.1,4.3,4.2)</f>
        <v>4.2</v>
      </c>
      <c r="H25" s="31">
        <f t="shared" si="0"/>
        <v>5.8</v>
      </c>
      <c r="I25" s="16"/>
      <c r="J25" s="53">
        <f t="shared" si="1"/>
        <v>9.1</v>
      </c>
      <c r="K25" s="50">
        <v>2.5</v>
      </c>
      <c r="L25" s="16">
        <f>AVERAGE(5.5,5.5,5.3,5)</f>
        <v>5.3250000000000002</v>
      </c>
      <c r="M25" s="31">
        <f t="shared" si="2"/>
        <v>4.6749999999999998</v>
      </c>
      <c r="N25" s="16">
        <v>-2</v>
      </c>
      <c r="O25" s="53">
        <f t="shared" si="3"/>
        <v>5.1749999999999998</v>
      </c>
      <c r="P25" s="57">
        <f t="shared" si="4"/>
        <v>14.274999999999999</v>
      </c>
    </row>
    <row r="26" spans="1:16" ht="13.5" thickBot="1">
      <c r="A26" s="84">
        <v>21</v>
      </c>
      <c r="B26" s="146" t="s">
        <v>96</v>
      </c>
      <c r="C26" s="39" t="s">
        <v>90</v>
      </c>
      <c r="D26" s="147" t="s">
        <v>91</v>
      </c>
      <c r="E26" s="48">
        <v>2007</v>
      </c>
      <c r="F26" s="62">
        <v>2.2999999999999998</v>
      </c>
      <c r="G26" s="45">
        <f>AVERAGE(3.5,3.3,3.4,3.2)</f>
        <v>3.3499999999999996</v>
      </c>
      <c r="H26" s="36">
        <f t="shared" si="0"/>
        <v>6.65</v>
      </c>
      <c r="I26" s="35">
        <v>-2</v>
      </c>
      <c r="J26" s="54">
        <f t="shared" si="1"/>
        <v>6.9499999999999993</v>
      </c>
      <c r="K26" s="51">
        <v>2.9</v>
      </c>
      <c r="L26" s="35">
        <f>AVERAGE(6.4,5.9,5.7,5.5)</f>
        <v>5.875</v>
      </c>
      <c r="M26" s="36">
        <f t="shared" si="2"/>
        <v>4.125</v>
      </c>
      <c r="N26" s="35"/>
      <c r="O26" s="54">
        <f t="shared" si="3"/>
        <v>7.0250000000000004</v>
      </c>
      <c r="P26" s="58">
        <f t="shared" si="4"/>
        <v>13.975</v>
      </c>
    </row>
  </sheetData>
  <sheetProtection selectLockedCells="1" selectUnlockedCells="1"/>
  <autoFilter ref="A5:P5">
    <sortState ref="A6:P26">
      <sortCondition descending="1" ref="P5"/>
    </sortState>
  </autoFilter>
  <mergeCells count="2">
    <mergeCell ref="F4:J4"/>
    <mergeCell ref="K4:O4"/>
  </mergeCells>
  <phoneticPr fontId="2" type="noConversion"/>
  <pageMargins left="0.3298611111111111" right="0.2" top="0.5" bottom="0.15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R24"/>
  <sheetViews>
    <sheetView zoomScaleNormal="100" workbookViewId="0">
      <selection activeCell="A24" sqref="A6:A24"/>
    </sheetView>
  </sheetViews>
  <sheetFormatPr defaultRowHeight="12.75"/>
  <cols>
    <col min="1" max="1" width="3.85546875" style="3" customWidth="1"/>
    <col min="2" max="2" width="19" style="3" bestFit="1" customWidth="1"/>
    <col min="3" max="3" width="19.42578125" style="3" bestFit="1" customWidth="1"/>
    <col min="4" max="4" width="17" style="3" customWidth="1"/>
    <col min="5" max="5" width="6.140625" style="19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8" ht="26.25" customHeight="1">
      <c r="A1" s="2" t="s">
        <v>0</v>
      </c>
      <c r="D1" s="2"/>
      <c r="O1" s="2" t="s">
        <v>1</v>
      </c>
      <c r="P1" s="4"/>
    </row>
    <row r="2" spans="1:18">
      <c r="B2" s="6" t="s">
        <v>2</v>
      </c>
      <c r="D2" s="6" t="s">
        <v>41</v>
      </c>
    </row>
    <row r="3" spans="1:18" ht="13.5" thickBot="1">
      <c r="B3" s="7">
        <v>42497</v>
      </c>
      <c r="D3" s="3" t="s">
        <v>4</v>
      </c>
    </row>
    <row r="4" spans="1:18" ht="18.75" customHeight="1">
      <c r="A4" s="22"/>
      <c r="B4" s="32" t="s">
        <v>97</v>
      </c>
      <c r="C4" s="8" t="s">
        <v>98</v>
      </c>
      <c r="D4" s="23"/>
      <c r="E4" s="136"/>
      <c r="F4" s="156" t="s">
        <v>8</v>
      </c>
      <c r="G4" s="156"/>
      <c r="H4" s="156"/>
      <c r="I4" s="156"/>
      <c r="J4" s="156"/>
      <c r="K4" s="157" t="s">
        <v>7</v>
      </c>
      <c r="L4" s="157"/>
      <c r="M4" s="157"/>
      <c r="N4" s="157"/>
      <c r="O4" s="157"/>
      <c r="P4" s="10" t="s">
        <v>9</v>
      </c>
      <c r="R4" s="90"/>
    </row>
    <row r="5" spans="1:18" ht="13.5" customHeight="1" thickBot="1">
      <c r="A5" s="97" t="s">
        <v>10</v>
      </c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29" t="s">
        <v>9</v>
      </c>
      <c r="K5" s="28" t="s">
        <v>15</v>
      </c>
      <c r="L5" s="28" t="s">
        <v>16</v>
      </c>
      <c r="M5" s="28" t="s">
        <v>17</v>
      </c>
      <c r="N5" s="28" t="s">
        <v>18</v>
      </c>
      <c r="O5" s="29" t="s">
        <v>9</v>
      </c>
      <c r="P5" s="30"/>
    </row>
    <row r="6" spans="1:18" ht="13.5" customHeight="1">
      <c r="A6" s="63">
        <v>1</v>
      </c>
      <c r="B6" s="71" t="s">
        <v>99</v>
      </c>
      <c r="C6" s="44" t="s">
        <v>73</v>
      </c>
      <c r="D6" s="44" t="s">
        <v>74</v>
      </c>
      <c r="E6" s="96">
        <v>2008</v>
      </c>
      <c r="F6" s="37">
        <v>3.9</v>
      </c>
      <c r="G6" s="37">
        <f>AVERAGE(1.9,1.8,1.9)</f>
        <v>1.8666666666666665</v>
      </c>
      <c r="H6" s="38">
        <f t="shared" ref="H6:H24" si="0">IF(ISBLANK(G6),"",10-G6)</f>
        <v>8.1333333333333329</v>
      </c>
      <c r="I6" s="37"/>
      <c r="J6" s="52">
        <f t="shared" ref="J6:J24" si="1">IF(ISBLANK(G6),"",F6+(10-G6)+I6)</f>
        <v>12.033333333333333</v>
      </c>
      <c r="K6" s="49">
        <v>3.9</v>
      </c>
      <c r="L6" s="37">
        <f>AVERAGE(0.9,0.9,0.9,0.7)</f>
        <v>0.85000000000000009</v>
      </c>
      <c r="M6" s="38">
        <f t="shared" ref="M6:M24" si="2">IF(ISBLANK(L6),"",10-L6)</f>
        <v>9.15</v>
      </c>
      <c r="N6" s="37"/>
      <c r="O6" s="52">
        <f t="shared" ref="O6:O24" si="3">IF(ISBLANK(L6),"",K6+(10-L6)+N6)</f>
        <v>13.05</v>
      </c>
      <c r="P6" s="59">
        <f t="shared" ref="P6:P24" si="4">IF(ISBLANK(J6),"",IF(ISBLANK(O6),"",J6+O6))</f>
        <v>25.083333333333336</v>
      </c>
    </row>
    <row r="7" spans="1:18" ht="13.5" customHeight="1">
      <c r="A7" s="75">
        <v>2</v>
      </c>
      <c r="B7" s="65" t="s">
        <v>100</v>
      </c>
      <c r="C7" s="24" t="s">
        <v>54</v>
      </c>
      <c r="D7" s="24" t="s">
        <v>101</v>
      </c>
      <c r="E7" s="15">
        <v>2008</v>
      </c>
      <c r="F7" s="16">
        <v>3.9</v>
      </c>
      <c r="G7" s="16">
        <f>AVERAGE(1.9,1.9,1.8)</f>
        <v>1.8666666666666665</v>
      </c>
      <c r="H7" s="31">
        <f t="shared" si="0"/>
        <v>8.1333333333333329</v>
      </c>
      <c r="I7" s="16"/>
      <c r="J7" s="53">
        <f t="shared" si="1"/>
        <v>12.033333333333333</v>
      </c>
      <c r="K7" s="50">
        <v>4</v>
      </c>
      <c r="L7" s="16">
        <f>AVERAGE(1.4,1.3,1.2,1.4)</f>
        <v>1.3250000000000002</v>
      </c>
      <c r="M7" s="31">
        <f t="shared" si="2"/>
        <v>8.6750000000000007</v>
      </c>
      <c r="N7" s="16"/>
      <c r="O7" s="53">
        <f t="shared" si="3"/>
        <v>12.675000000000001</v>
      </c>
      <c r="P7" s="57">
        <f t="shared" si="4"/>
        <v>24.708333333333336</v>
      </c>
    </row>
    <row r="8" spans="1:18">
      <c r="A8" s="75">
        <v>3</v>
      </c>
      <c r="B8" s="65" t="s">
        <v>102</v>
      </c>
      <c r="C8" s="24" t="s">
        <v>73</v>
      </c>
      <c r="D8" s="24" t="s">
        <v>74</v>
      </c>
      <c r="E8" s="15">
        <v>2008</v>
      </c>
      <c r="F8" s="16">
        <v>3.3</v>
      </c>
      <c r="G8" s="16">
        <f>AVERAGE(1,1.1,1)</f>
        <v>1.0333333333333334</v>
      </c>
      <c r="H8" s="31">
        <f t="shared" si="0"/>
        <v>8.9666666666666668</v>
      </c>
      <c r="I8" s="16"/>
      <c r="J8" s="53">
        <f t="shared" si="1"/>
        <v>12.266666666666666</v>
      </c>
      <c r="K8" s="50">
        <v>3.4</v>
      </c>
      <c r="L8" s="16">
        <f>AVERAGE(0.9,1.1,1.5,1.5)</f>
        <v>1.25</v>
      </c>
      <c r="M8" s="31">
        <f t="shared" si="2"/>
        <v>8.75</v>
      </c>
      <c r="N8" s="16"/>
      <c r="O8" s="53">
        <f t="shared" si="3"/>
        <v>12.15</v>
      </c>
      <c r="P8" s="57">
        <f t="shared" si="4"/>
        <v>24.416666666666664</v>
      </c>
    </row>
    <row r="9" spans="1:18" s="43" customFormat="1">
      <c r="A9" s="75">
        <v>4</v>
      </c>
      <c r="B9" s="65" t="s">
        <v>103</v>
      </c>
      <c r="C9" s="24" t="s">
        <v>73</v>
      </c>
      <c r="D9" s="24" t="s">
        <v>74</v>
      </c>
      <c r="E9" s="15">
        <v>2008</v>
      </c>
      <c r="F9" s="16">
        <v>3.3</v>
      </c>
      <c r="G9" s="16">
        <f>AVERAGE(1.4,1.3,1.5)</f>
        <v>1.4000000000000001</v>
      </c>
      <c r="H9" s="31">
        <f t="shared" si="0"/>
        <v>8.6</v>
      </c>
      <c r="I9" s="16"/>
      <c r="J9" s="53">
        <f t="shared" si="1"/>
        <v>11.899999999999999</v>
      </c>
      <c r="K9" s="50">
        <v>3</v>
      </c>
      <c r="L9" s="16">
        <f>AVERAGE(1,1.1,0.8,1)</f>
        <v>0.97500000000000009</v>
      </c>
      <c r="M9" s="31">
        <f t="shared" si="2"/>
        <v>9.0250000000000004</v>
      </c>
      <c r="N9" s="16"/>
      <c r="O9" s="53">
        <f t="shared" si="3"/>
        <v>12.025</v>
      </c>
      <c r="P9" s="57">
        <f t="shared" si="4"/>
        <v>23.924999999999997</v>
      </c>
    </row>
    <row r="10" spans="1:18" s="43" customFormat="1">
      <c r="A10" s="75">
        <v>5</v>
      </c>
      <c r="B10" s="65" t="s">
        <v>104</v>
      </c>
      <c r="C10" s="24" t="s">
        <v>73</v>
      </c>
      <c r="D10" s="24" t="s">
        <v>74</v>
      </c>
      <c r="E10" s="15">
        <v>2008</v>
      </c>
      <c r="F10" s="16">
        <v>3.7</v>
      </c>
      <c r="G10" s="16">
        <f>AVERAGE(2.2,2.1,2.1)</f>
        <v>2.1333333333333333</v>
      </c>
      <c r="H10" s="31">
        <f t="shared" si="0"/>
        <v>7.8666666666666671</v>
      </c>
      <c r="I10" s="16"/>
      <c r="J10" s="53">
        <f t="shared" si="1"/>
        <v>11.566666666666666</v>
      </c>
      <c r="K10" s="50">
        <v>3.4</v>
      </c>
      <c r="L10" s="16">
        <f>AVERAGE(1.4,1.2,1.5,1)</f>
        <v>1.2749999999999999</v>
      </c>
      <c r="M10" s="31">
        <f t="shared" si="2"/>
        <v>8.7249999999999996</v>
      </c>
      <c r="N10" s="16"/>
      <c r="O10" s="53">
        <f t="shared" si="3"/>
        <v>12.125</v>
      </c>
      <c r="P10" s="57">
        <f t="shared" si="4"/>
        <v>23.691666666666666</v>
      </c>
    </row>
    <row r="11" spans="1:18" s="43" customFormat="1">
      <c r="A11" s="75">
        <v>6</v>
      </c>
      <c r="B11" s="64" t="s">
        <v>105</v>
      </c>
      <c r="C11" s="26" t="s">
        <v>106</v>
      </c>
      <c r="D11" s="26" t="s">
        <v>107</v>
      </c>
      <c r="E11" s="17">
        <v>2008</v>
      </c>
      <c r="F11" s="16">
        <v>3.3</v>
      </c>
      <c r="G11" s="16">
        <f>AVERAGE(2.9,3,2.8)</f>
        <v>2.9</v>
      </c>
      <c r="H11" s="31">
        <f t="shared" si="0"/>
        <v>7.1</v>
      </c>
      <c r="I11" s="16"/>
      <c r="J11" s="53">
        <f t="shared" si="1"/>
        <v>10.399999999999999</v>
      </c>
      <c r="K11" s="50">
        <v>3.5</v>
      </c>
      <c r="L11" s="16">
        <f>AVERAGE(1.4,1.3,1.2,1.5)</f>
        <v>1.35</v>
      </c>
      <c r="M11" s="31">
        <f t="shared" si="2"/>
        <v>8.65</v>
      </c>
      <c r="N11" s="16"/>
      <c r="O11" s="53">
        <f t="shared" si="3"/>
        <v>12.15</v>
      </c>
      <c r="P11" s="57">
        <f t="shared" si="4"/>
        <v>22.549999999999997</v>
      </c>
    </row>
    <row r="12" spans="1:18" s="43" customFormat="1">
      <c r="A12" s="75">
        <v>7</v>
      </c>
      <c r="B12" s="65" t="s">
        <v>108</v>
      </c>
      <c r="C12" s="24" t="s">
        <v>106</v>
      </c>
      <c r="D12" s="24" t="s">
        <v>107</v>
      </c>
      <c r="E12" s="15">
        <v>2008</v>
      </c>
      <c r="F12" s="16">
        <v>3.3</v>
      </c>
      <c r="G12" s="16">
        <f>AVERAGE(3,2.8,2.6)</f>
        <v>2.8000000000000003</v>
      </c>
      <c r="H12" s="31">
        <f t="shared" si="0"/>
        <v>7.1999999999999993</v>
      </c>
      <c r="I12" s="16"/>
      <c r="J12" s="53">
        <f t="shared" si="1"/>
        <v>10.5</v>
      </c>
      <c r="K12" s="50">
        <v>3.4</v>
      </c>
      <c r="L12" s="16">
        <f>AVERAGE(2,1.8,1.8,1.5)</f>
        <v>1.7749999999999999</v>
      </c>
      <c r="M12" s="31">
        <f t="shared" si="2"/>
        <v>8.2249999999999996</v>
      </c>
      <c r="N12" s="16"/>
      <c r="O12" s="53">
        <f t="shared" si="3"/>
        <v>11.625</v>
      </c>
      <c r="P12" s="57">
        <f t="shared" si="4"/>
        <v>22.125</v>
      </c>
    </row>
    <row r="13" spans="1:18" s="43" customFormat="1">
      <c r="A13" s="75">
        <v>8</v>
      </c>
      <c r="B13" s="65" t="s">
        <v>109</v>
      </c>
      <c r="C13" s="24" t="s">
        <v>23</v>
      </c>
      <c r="D13" s="24" t="s">
        <v>45</v>
      </c>
      <c r="E13" s="15">
        <v>2008</v>
      </c>
      <c r="F13" s="16">
        <v>2.9</v>
      </c>
      <c r="G13" s="16">
        <f>AVERAGE(2.9,2.5,2.3)</f>
        <v>2.5666666666666669</v>
      </c>
      <c r="H13" s="31">
        <f t="shared" si="0"/>
        <v>7.4333333333333336</v>
      </c>
      <c r="I13" s="16"/>
      <c r="J13" s="53">
        <f t="shared" si="1"/>
        <v>10.333333333333334</v>
      </c>
      <c r="K13" s="50">
        <v>3</v>
      </c>
      <c r="L13" s="16">
        <f>AVERAGE(1.3,1.1,1.1,1.7)</f>
        <v>1.3</v>
      </c>
      <c r="M13" s="31">
        <f t="shared" si="2"/>
        <v>8.6999999999999993</v>
      </c>
      <c r="N13" s="16"/>
      <c r="O13" s="53">
        <f t="shared" si="3"/>
        <v>11.7</v>
      </c>
      <c r="P13" s="57">
        <f t="shared" si="4"/>
        <v>22.033333333333331</v>
      </c>
    </row>
    <row r="14" spans="1:18" s="43" customFormat="1">
      <c r="A14" s="75">
        <v>9</v>
      </c>
      <c r="B14" s="65" t="s">
        <v>110</v>
      </c>
      <c r="C14" s="24" t="s">
        <v>62</v>
      </c>
      <c r="D14" s="24" t="s">
        <v>63</v>
      </c>
      <c r="E14" s="15">
        <v>2008</v>
      </c>
      <c r="F14" s="16">
        <v>3.7</v>
      </c>
      <c r="G14" s="16">
        <f>AVERAGE(3.7,3.5,3.5)</f>
        <v>3.5666666666666664</v>
      </c>
      <c r="H14" s="31">
        <f t="shared" si="0"/>
        <v>6.4333333333333336</v>
      </c>
      <c r="I14" s="16"/>
      <c r="J14" s="53">
        <f t="shared" si="1"/>
        <v>10.133333333333333</v>
      </c>
      <c r="K14" s="50">
        <v>4</v>
      </c>
      <c r="L14" s="16">
        <f>AVERAGE(1.9,2.4,2.1,2.3)</f>
        <v>2.1749999999999998</v>
      </c>
      <c r="M14" s="31">
        <f t="shared" si="2"/>
        <v>7.8250000000000002</v>
      </c>
      <c r="N14" s="16"/>
      <c r="O14" s="53">
        <f t="shared" si="3"/>
        <v>11.824999999999999</v>
      </c>
      <c r="P14" s="57">
        <f t="shared" si="4"/>
        <v>21.958333333333332</v>
      </c>
    </row>
    <row r="15" spans="1:18" s="43" customFormat="1">
      <c r="A15" s="75">
        <v>10</v>
      </c>
      <c r="B15" s="65" t="s">
        <v>111</v>
      </c>
      <c r="C15" s="24" t="s">
        <v>106</v>
      </c>
      <c r="D15" s="24" t="s">
        <v>107</v>
      </c>
      <c r="E15" s="15">
        <v>2008</v>
      </c>
      <c r="F15" s="16">
        <v>3.4</v>
      </c>
      <c r="G15" s="16">
        <f>AVERAGE(3.6,3.2,3.2)</f>
        <v>3.3333333333333335</v>
      </c>
      <c r="H15" s="31">
        <f t="shared" si="0"/>
        <v>6.6666666666666661</v>
      </c>
      <c r="I15" s="16"/>
      <c r="J15" s="53">
        <f t="shared" si="1"/>
        <v>10.066666666666666</v>
      </c>
      <c r="K15" s="50">
        <v>3.2</v>
      </c>
      <c r="L15" s="16">
        <f>AVERAGE(1.8,1.6,1.8,2.1)</f>
        <v>1.8250000000000002</v>
      </c>
      <c r="M15" s="31">
        <f t="shared" si="2"/>
        <v>8.1750000000000007</v>
      </c>
      <c r="N15" s="16"/>
      <c r="O15" s="53">
        <f t="shared" si="3"/>
        <v>11.375</v>
      </c>
      <c r="P15" s="57">
        <f t="shared" si="4"/>
        <v>21.441666666666666</v>
      </c>
    </row>
    <row r="16" spans="1:18" s="43" customFormat="1">
      <c r="A16" s="75">
        <v>11</v>
      </c>
      <c r="B16" s="65" t="s">
        <v>112</v>
      </c>
      <c r="C16" s="24" t="s">
        <v>76</v>
      </c>
      <c r="D16" s="24" t="s">
        <v>77</v>
      </c>
      <c r="E16" s="15">
        <v>2008</v>
      </c>
      <c r="F16" s="16">
        <v>3</v>
      </c>
      <c r="G16" s="16">
        <f>AVERAGE(2.5,2.5,2.7)</f>
        <v>2.5666666666666669</v>
      </c>
      <c r="H16" s="31">
        <f t="shared" si="0"/>
        <v>7.4333333333333336</v>
      </c>
      <c r="I16" s="16"/>
      <c r="J16" s="53">
        <f t="shared" si="1"/>
        <v>10.433333333333334</v>
      </c>
      <c r="K16" s="50">
        <v>2.9</v>
      </c>
      <c r="L16" s="16">
        <f>AVERAGE(1.9,2.1,2,2.3)</f>
        <v>2.0750000000000002</v>
      </c>
      <c r="M16" s="31">
        <f t="shared" si="2"/>
        <v>7.9249999999999998</v>
      </c>
      <c r="N16" s="16"/>
      <c r="O16" s="53">
        <f t="shared" si="3"/>
        <v>10.824999999999999</v>
      </c>
      <c r="P16" s="57">
        <f t="shared" si="4"/>
        <v>21.258333333333333</v>
      </c>
    </row>
    <row r="17" spans="1:16" s="43" customFormat="1">
      <c r="A17" s="75">
        <v>12</v>
      </c>
      <c r="B17" s="65" t="s">
        <v>113</v>
      </c>
      <c r="C17" s="24" t="s">
        <v>26</v>
      </c>
      <c r="D17" s="24" t="s">
        <v>48</v>
      </c>
      <c r="E17" s="15">
        <v>2008</v>
      </c>
      <c r="F17" s="16">
        <v>3.1</v>
      </c>
      <c r="G17" s="16">
        <f>AVERAGE(2.7,2.8,2.8)</f>
        <v>2.7666666666666671</v>
      </c>
      <c r="H17" s="31">
        <f t="shared" si="0"/>
        <v>7.2333333333333325</v>
      </c>
      <c r="I17" s="16"/>
      <c r="J17" s="53">
        <f t="shared" si="1"/>
        <v>10.333333333333332</v>
      </c>
      <c r="K17" s="50">
        <v>3.3</v>
      </c>
      <c r="L17" s="16">
        <f>AVERAGE(2.8,3.2,3.1,2.8)</f>
        <v>2.9749999999999996</v>
      </c>
      <c r="M17" s="31">
        <f t="shared" si="2"/>
        <v>7.0250000000000004</v>
      </c>
      <c r="N17" s="16"/>
      <c r="O17" s="53">
        <f t="shared" si="3"/>
        <v>10.324999999999999</v>
      </c>
      <c r="P17" s="57">
        <f t="shared" si="4"/>
        <v>20.658333333333331</v>
      </c>
    </row>
    <row r="18" spans="1:16" s="43" customFormat="1">
      <c r="A18" s="75">
        <v>13</v>
      </c>
      <c r="B18" s="65" t="s">
        <v>114</v>
      </c>
      <c r="C18" s="24" t="s">
        <v>90</v>
      </c>
      <c r="D18" s="24" t="s">
        <v>91</v>
      </c>
      <c r="E18" s="15">
        <v>2008</v>
      </c>
      <c r="F18" s="16">
        <v>2.6</v>
      </c>
      <c r="G18" s="16">
        <f>AVERAGE(2.7,2.4,2.2)</f>
        <v>2.4333333333333331</v>
      </c>
      <c r="H18" s="31">
        <f t="shared" si="0"/>
        <v>7.5666666666666664</v>
      </c>
      <c r="I18" s="16"/>
      <c r="J18" s="53">
        <f t="shared" si="1"/>
        <v>10.166666666666666</v>
      </c>
      <c r="K18" s="50">
        <v>2</v>
      </c>
      <c r="L18" s="16">
        <f>AVERAGE(1.3,1.6,1.4,1.8)</f>
        <v>1.5250000000000001</v>
      </c>
      <c r="M18" s="31">
        <f t="shared" si="2"/>
        <v>8.4749999999999996</v>
      </c>
      <c r="N18" s="16"/>
      <c r="O18" s="53">
        <f t="shared" si="3"/>
        <v>10.475</v>
      </c>
      <c r="P18" s="57">
        <f t="shared" si="4"/>
        <v>20.641666666666666</v>
      </c>
    </row>
    <row r="19" spans="1:16" s="43" customFormat="1">
      <c r="A19" s="75">
        <v>14</v>
      </c>
      <c r="B19" s="64" t="s">
        <v>115</v>
      </c>
      <c r="C19" s="26" t="s">
        <v>32</v>
      </c>
      <c r="D19" s="27" t="s">
        <v>116</v>
      </c>
      <c r="E19" s="17">
        <v>2008</v>
      </c>
      <c r="F19" s="16">
        <v>2.9</v>
      </c>
      <c r="G19" s="16">
        <f>AVERAGE(3.6,3.3,3.5)</f>
        <v>3.4666666666666668</v>
      </c>
      <c r="H19" s="31">
        <f t="shared" si="0"/>
        <v>6.5333333333333332</v>
      </c>
      <c r="I19" s="16"/>
      <c r="J19" s="53">
        <f t="shared" si="1"/>
        <v>9.4333333333333336</v>
      </c>
      <c r="K19" s="50">
        <v>3.1</v>
      </c>
      <c r="L19" s="16">
        <f>AVERAGE(2.5,2.5,2,2.6)</f>
        <v>2.4</v>
      </c>
      <c r="M19" s="31">
        <f t="shared" si="2"/>
        <v>7.6</v>
      </c>
      <c r="N19" s="16"/>
      <c r="O19" s="53">
        <f t="shared" si="3"/>
        <v>10.7</v>
      </c>
      <c r="P19" s="57">
        <f t="shared" si="4"/>
        <v>20.133333333333333</v>
      </c>
    </row>
    <row r="20" spans="1:16" s="43" customFormat="1">
      <c r="A20" s="75">
        <v>15</v>
      </c>
      <c r="B20" s="65" t="s">
        <v>117</v>
      </c>
      <c r="C20" s="24" t="s">
        <v>76</v>
      </c>
      <c r="D20" s="24" t="s">
        <v>77</v>
      </c>
      <c r="E20" s="15">
        <v>2008</v>
      </c>
      <c r="F20" s="16">
        <v>2.9</v>
      </c>
      <c r="G20" s="16">
        <f>AVERAGE(3,3.3,2.8)</f>
        <v>3.0333333333333332</v>
      </c>
      <c r="H20" s="31">
        <f t="shared" si="0"/>
        <v>6.9666666666666668</v>
      </c>
      <c r="I20" s="16"/>
      <c r="J20" s="53">
        <f t="shared" si="1"/>
        <v>9.8666666666666671</v>
      </c>
      <c r="K20" s="50">
        <v>2.2999999999999998</v>
      </c>
      <c r="L20" s="16">
        <f>AVERAGE(2,2.3,2.4,2.7)</f>
        <v>2.3499999999999996</v>
      </c>
      <c r="M20" s="31">
        <f t="shared" si="2"/>
        <v>7.65</v>
      </c>
      <c r="N20" s="16"/>
      <c r="O20" s="53">
        <f t="shared" si="3"/>
        <v>9.9499999999999993</v>
      </c>
      <c r="P20" s="57">
        <f t="shared" si="4"/>
        <v>19.816666666666666</v>
      </c>
    </row>
    <row r="21" spans="1:16">
      <c r="A21" s="75">
        <v>16</v>
      </c>
      <c r="B21" s="65" t="s">
        <v>118</v>
      </c>
      <c r="C21" s="24" t="s">
        <v>80</v>
      </c>
      <c r="D21" s="24"/>
      <c r="E21" s="15">
        <v>2008</v>
      </c>
      <c r="F21" s="16">
        <v>2.5</v>
      </c>
      <c r="G21" s="16">
        <f>AVERAGE(2.9,2.7,2.8)</f>
        <v>2.7999999999999994</v>
      </c>
      <c r="H21" s="31">
        <f t="shared" si="0"/>
        <v>7.2000000000000011</v>
      </c>
      <c r="I21" s="16"/>
      <c r="J21" s="53">
        <f t="shared" si="1"/>
        <v>9.7000000000000011</v>
      </c>
      <c r="K21" s="50">
        <v>2.6</v>
      </c>
      <c r="L21" s="16">
        <f>AVERAGE(2.8,2.5,2.5,2.8)</f>
        <v>2.65</v>
      </c>
      <c r="M21" s="31">
        <f t="shared" si="2"/>
        <v>7.35</v>
      </c>
      <c r="N21" s="16"/>
      <c r="O21" s="53">
        <f t="shared" si="3"/>
        <v>9.9499999999999993</v>
      </c>
      <c r="P21" s="57">
        <f t="shared" si="4"/>
        <v>19.649999999999999</v>
      </c>
    </row>
    <row r="22" spans="1:16">
      <c r="A22" s="75">
        <v>17</v>
      </c>
      <c r="B22" s="65" t="s">
        <v>119</v>
      </c>
      <c r="C22" s="24" t="s">
        <v>80</v>
      </c>
      <c r="D22" s="24"/>
      <c r="E22" s="15">
        <v>2008</v>
      </c>
      <c r="F22" s="16">
        <v>2.5</v>
      </c>
      <c r="G22" s="16">
        <f>AVERAGE(3.4,3.3,3.1)</f>
        <v>3.2666666666666662</v>
      </c>
      <c r="H22" s="31">
        <f t="shared" si="0"/>
        <v>6.7333333333333343</v>
      </c>
      <c r="I22" s="16"/>
      <c r="J22" s="53">
        <f t="shared" si="1"/>
        <v>9.2333333333333343</v>
      </c>
      <c r="K22" s="50">
        <v>2.6</v>
      </c>
      <c r="L22" s="16">
        <f>AVERAGE(3.1,3.2,2.9,2.9)</f>
        <v>3.0250000000000004</v>
      </c>
      <c r="M22" s="31">
        <f t="shared" si="2"/>
        <v>6.9749999999999996</v>
      </c>
      <c r="N22" s="16"/>
      <c r="O22" s="53">
        <f t="shared" si="3"/>
        <v>9.5749999999999993</v>
      </c>
      <c r="P22" s="57">
        <f t="shared" si="4"/>
        <v>18.808333333333334</v>
      </c>
    </row>
    <row r="23" spans="1:16">
      <c r="A23" s="75">
        <v>18</v>
      </c>
      <c r="B23" s="65" t="s">
        <v>120</v>
      </c>
      <c r="C23" s="24" t="s">
        <v>121</v>
      </c>
      <c r="D23" s="25" t="s">
        <v>122</v>
      </c>
      <c r="E23" s="15">
        <v>2008</v>
      </c>
      <c r="F23" s="16">
        <v>2.5</v>
      </c>
      <c r="G23" s="16">
        <f>AVERAGE(4,4,4)</f>
        <v>4</v>
      </c>
      <c r="H23" s="31">
        <f t="shared" si="0"/>
        <v>6</v>
      </c>
      <c r="I23" s="16"/>
      <c r="J23" s="53">
        <f t="shared" si="1"/>
        <v>8.5</v>
      </c>
      <c r="K23" s="50">
        <v>2</v>
      </c>
      <c r="L23" s="16">
        <f>AVERAGE(2.9,3.2,3.3,3.5)</f>
        <v>3.2249999999999996</v>
      </c>
      <c r="M23" s="31">
        <f t="shared" si="2"/>
        <v>6.7750000000000004</v>
      </c>
      <c r="N23" s="16"/>
      <c r="O23" s="53">
        <f t="shared" si="3"/>
        <v>8.7750000000000004</v>
      </c>
      <c r="P23" s="57">
        <f t="shared" si="4"/>
        <v>17.274999999999999</v>
      </c>
    </row>
    <row r="24" spans="1:16" ht="13.5" thickBot="1">
      <c r="A24" s="84">
        <v>19</v>
      </c>
      <c r="B24" s="66" t="s">
        <v>123</v>
      </c>
      <c r="C24" s="39" t="s">
        <v>26</v>
      </c>
      <c r="D24" s="39" t="s">
        <v>48</v>
      </c>
      <c r="E24" s="20">
        <v>2008</v>
      </c>
      <c r="F24" s="35">
        <v>3.2</v>
      </c>
      <c r="G24" s="35">
        <f>AVERAGE(4.4,4.2,4.2)</f>
        <v>4.2666666666666666</v>
      </c>
      <c r="H24" s="36">
        <f t="shared" si="0"/>
        <v>5.7333333333333334</v>
      </c>
      <c r="I24" s="35"/>
      <c r="J24" s="54">
        <f t="shared" si="1"/>
        <v>8.9333333333333336</v>
      </c>
      <c r="K24" s="51">
        <v>2.6</v>
      </c>
      <c r="L24" s="35">
        <f>AVERAGE(4.8,5.6,5.7,5.8)</f>
        <v>5.4749999999999996</v>
      </c>
      <c r="M24" s="36">
        <f t="shared" si="2"/>
        <v>4.5250000000000004</v>
      </c>
      <c r="N24" s="35"/>
      <c r="O24" s="54">
        <f t="shared" si="3"/>
        <v>7.125</v>
      </c>
      <c r="P24" s="58">
        <f t="shared" si="4"/>
        <v>16.058333333333334</v>
      </c>
    </row>
  </sheetData>
  <sheetProtection selectLockedCells="1" selectUnlockedCells="1"/>
  <autoFilter ref="A5:P21">
    <sortState ref="A6:P24">
      <sortCondition descending="1" ref="P5:P21"/>
    </sortState>
  </autoFilter>
  <mergeCells count="2">
    <mergeCell ref="F4:J4"/>
    <mergeCell ref="K4:O4"/>
  </mergeCells>
  <phoneticPr fontId="2" type="noConversion"/>
  <pageMargins left="0.27569444444444446" right="0.19652777777777777" top="0.27569444444444446" bottom="0.31527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24"/>
  <sheetViews>
    <sheetView zoomScaleNormal="100" workbookViewId="0">
      <selection activeCell="A24" sqref="A6:A24"/>
    </sheetView>
  </sheetViews>
  <sheetFormatPr defaultRowHeight="12.75"/>
  <cols>
    <col min="1" max="1" width="3.85546875" style="3" customWidth="1"/>
    <col min="2" max="2" width="18.42578125" style="3" bestFit="1" customWidth="1"/>
    <col min="3" max="3" width="20.85546875" style="3" customWidth="1"/>
    <col min="4" max="4" width="17" style="3" customWidth="1"/>
    <col min="5" max="5" width="6.5703125" style="19" customWidth="1"/>
    <col min="6" max="9" width="6" style="3" customWidth="1"/>
    <col min="10" max="10" width="7.7109375" style="3" customWidth="1"/>
    <col min="11" max="14" width="6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9" ht="26.25" customHeight="1">
      <c r="A1" s="2" t="s">
        <v>0</v>
      </c>
      <c r="D1" s="2"/>
      <c r="O1" s="2" t="s">
        <v>1</v>
      </c>
      <c r="P1" s="4"/>
    </row>
    <row r="2" spans="1:19">
      <c r="B2" s="6" t="s">
        <v>124</v>
      </c>
      <c r="D2" s="6" t="s">
        <v>41</v>
      </c>
    </row>
    <row r="3" spans="1:19" ht="13.5" thickBot="1">
      <c r="B3" s="7">
        <v>42497</v>
      </c>
      <c r="D3" s="3" t="s">
        <v>4</v>
      </c>
    </row>
    <row r="4" spans="1:19" ht="18.75" customHeight="1">
      <c r="A4" s="22"/>
      <c r="B4" s="32" t="s">
        <v>97</v>
      </c>
      <c r="C4" s="8" t="s">
        <v>125</v>
      </c>
      <c r="D4" s="23"/>
      <c r="E4" s="136"/>
      <c r="F4" s="156" t="s">
        <v>8</v>
      </c>
      <c r="G4" s="156"/>
      <c r="H4" s="156"/>
      <c r="I4" s="156"/>
      <c r="J4" s="156"/>
      <c r="K4" s="157" t="s">
        <v>7</v>
      </c>
      <c r="L4" s="157"/>
      <c r="M4" s="157"/>
      <c r="N4" s="157"/>
      <c r="O4" s="157"/>
      <c r="P4" s="10"/>
    </row>
    <row r="5" spans="1:19" ht="19.5" thickBot="1">
      <c r="A5" s="97" t="s">
        <v>10</v>
      </c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29" t="s">
        <v>9</v>
      </c>
      <c r="K5" s="28" t="s">
        <v>15</v>
      </c>
      <c r="L5" s="28" t="s">
        <v>16</v>
      </c>
      <c r="M5" s="28" t="s">
        <v>17</v>
      </c>
      <c r="N5" s="28" t="s">
        <v>18</v>
      </c>
      <c r="O5" s="29" t="s">
        <v>9</v>
      </c>
      <c r="P5" s="41" t="s">
        <v>9</v>
      </c>
      <c r="S5" s="90"/>
    </row>
    <row r="6" spans="1:19" ht="13.5" customHeight="1">
      <c r="A6" s="63">
        <v>1</v>
      </c>
      <c r="B6" s="74" t="s">
        <v>126</v>
      </c>
      <c r="C6" s="24" t="s">
        <v>54</v>
      </c>
      <c r="D6" s="24" t="s">
        <v>127</v>
      </c>
      <c r="E6" s="70">
        <v>2009</v>
      </c>
      <c r="F6" s="93">
        <v>3.2</v>
      </c>
      <c r="G6" s="94">
        <f>AVERAGE(1.3,1.4,1.4)</f>
        <v>1.3666666666666665</v>
      </c>
      <c r="H6" s="31">
        <f t="shared" ref="H6:H24" si="0">IF(ISBLANK(G6),"",10-G6)</f>
        <v>8.6333333333333329</v>
      </c>
      <c r="I6" s="16"/>
      <c r="J6" s="53">
        <f t="shared" ref="J6:J24" si="1">IF(ISBLANK(G6),"",F6+(10-G6)+I6)</f>
        <v>11.833333333333332</v>
      </c>
      <c r="K6" s="50">
        <v>2.8</v>
      </c>
      <c r="L6" s="16">
        <f>AVERAGE(0.7,0.9,0.9,0.9)</f>
        <v>0.85</v>
      </c>
      <c r="M6" s="31">
        <f t="shared" ref="M6:M24" si="2">IF(ISBLANK(L6),"",10-L6)</f>
        <v>9.15</v>
      </c>
      <c r="N6" s="16"/>
      <c r="O6" s="53">
        <f t="shared" ref="O6:O24" si="3">IF(ISBLANK(L6),"",K6+(10-L6)+N6)</f>
        <v>11.95</v>
      </c>
      <c r="P6" s="57">
        <f t="shared" ref="P6:P24" si="4">IF(ISBLANK(J6),"",IF(ISBLANK(O6),"",J6+O6))</f>
        <v>23.783333333333331</v>
      </c>
    </row>
    <row r="7" spans="1:19" ht="13.5" customHeight="1">
      <c r="A7" s="75">
        <v>2</v>
      </c>
      <c r="B7" s="65" t="s">
        <v>128</v>
      </c>
      <c r="C7" s="24" t="s">
        <v>73</v>
      </c>
      <c r="D7" s="25" t="s">
        <v>129</v>
      </c>
      <c r="E7" s="47">
        <v>2009</v>
      </c>
      <c r="F7" s="50">
        <v>3.4</v>
      </c>
      <c r="G7" s="16">
        <f>AVERAGE(1.7,1.8,2)</f>
        <v>1.8333333333333333</v>
      </c>
      <c r="H7" s="31">
        <f t="shared" si="0"/>
        <v>8.1666666666666661</v>
      </c>
      <c r="I7" s="16"/>
      <c r="J7" s="53">
        <f t="shared" si="1"/>
        <v>11.566666666666666</v>
      </c>
      <c r="K7" s="50">
        <v>2.7</v>
      </c>
      <c r="L7" s="16">
        <f>AVERAGE(1.6,1.2,1,1.3)</f>
        <v>1.2749999999999999</v>
      </c>
      <c r="M7" s="31">
        <f t="shared" si="2"/>
        <v>8.7249999999999996</v>
      </c>
      <c r="N7" s="16"/>
      <c r="O7" s="53">
        <f t="shared" si="3"/>
        <v>11.425000000000001</v>
      </c>
      <c r="P7" s="57">
        <f t="shared" si="4"/>
        <v>22.991666666666667</v>
      </c>
    </row>
    <row r="8" spans="1:19" ht="13.5" customHeight="1">
      <c r="A8" s="75">
        <v>3</v>
      </c>
      <c r="B8" s="65" t="s">
        <v>130</v>
      </c>
      <c r="C8" s="24" t="s">
        <v>69</v>
      </c>
      <c r="D8" s="24" t="s">
        <v>70</v>
      </c>
      <c r="E8" s="47">
        <v>2009</v>
      </c>
      <c r="F8" s="50">
        <v>3.1</v>
      </c>
      <c r="G8" s="16">
        <f>AVERAGE(2.5,2.2,2.2)</f>
        <v>2.3000000000000003</v>
      </c>
      <c r="H8" s="31">
        <f t="shared" si="0"/>
        <v>7.6999999999999993</v>
      </c>
      <c r="I8" s="16"/>
      <c r="J8" s="53">
        <f t="shared" si="1"/>
        <v>10.799999999999999</v>
      </c>
      <c r="K8" s="50">
        <v>3</v>
      </c>
      <c r="L8" s="16">
        <f>AVERAGE(1.8,1.7,1.9,2.5)</f>
        <v>1.9750000000000001</v>
      </c>
      <c r="M8" s="31">
        <f t="shared" si="2"/>
        <v>8.0250000000000004</v>
      </c>
      <c r="N8" s="16"/>
      <c r="O8" s="53">
        <f t="shared" si="3"/>
        <v>11.025</v>
      </c>
      <c r="P8" s="57">
        <f t="shared" si="4"/>
        <v>21.824999999999999</v>
      </c>
    </row>
    <row r="9" spans="1:19" s="43" customFormat="1">
      <c r="A9" s="75">
        <v>4</v>
      </c>
      <c r="B9" s="73" t="s">
        <v>131</v>
      </c>
      <c r="C9" s="26" t="s">
        <v>23</v>
      </c>
      <c r="D9" s="26" t="s">
        <v>45</v>
      </c>
      <c r="E9" s="69">
        <v>2009</v>
      </c>
      <c r="F9" s="93">
        <v>2.7</v>
      </c>
      <c r="G9" s="94">
        <f>AVERAGE(2.2,2.1,2.4)</f>
        <v>2.2333333333333338</v>
      </c>
      <c r="H9" s="31">
        <f t="shared" si="0"/>
        <v>7.7666666666666657</v>
      </c>
      <c r="I9" s="16"/>
      <c r="J9" s="53">
        <f t="shared" si="1"/>
        <v>10.466666666666665</v>
      </c>
      <c r="K9" s="50">
        <v>2.7</v>
      </c>
      <c r="L9" s="16">
        <f>AVERAGE(1.8,1.9,2.3,1.9)</f>
        <v>1.9750000000000001</v>
      </c>
      <c r="M9" s="31">
        <f t="shared" si="2"/>
        <v>8.0250000000000004</v>
      </c>
      <c r="N9" s="16"/>
      <c r="O9" s="53">
        <f t="shared" si="3"/>
        <v>10.725000000000001</v>
      </c>
      <c r="P9" s="57">
        <f t="shared" si="4"/>
        <v>21.191666666666666</v>
      </c>
    </row>
    <row r="10" spans="1:19" s="43" customFormat="1">
      <c r="A10" s="75">
        <v>5</v>
      </c>
      <c r="B10" s="65" t="s">
        <v>132</v>
      </c>
      <c r="C10" s="24" t="s">
        <v>23</v>
      </c>
      <c r="D10" s="24" t="s">
        <v>45</v>
      </c>
      <c r="E10" s="47">
        <v>2009</v>
      </c>
      <c r="F10" s="50">
        <v>2.6</v>
      </c>
      <c r="G10" s="16">
        <f>AVERAGE(3.1,2.8,2.8)</f>
        <v>2.9</v>
      </c>
      <c r="H10" s="31">
        <f t="shared" si="0"/>
        <v>7.1</v>
      </c>
      <c r="I10" s="16"/>
      <c r="J10" s="53">
        <f t="shared" si="1"/>
        <v>9.6999999999999993</v>
      </c>
      <c r="K10" s="50">
        <v>3</v>
      </c>
      <c r="L10" s="16">
        <f>AVERAGE(1.7,1.5,1.8,2.3)</f>
        <v>1.825</v>
      </c>
      <c r="M10" s="31">
        <f t="shared" si="2"/>
        <v>8.1750000000000007</v>
      </c>
      <c r="N10" s="16"/>
      <c r="O10" s="53">
        <f t="shared" si="3"/>
        <v>11.175000000000001</v>
      </c>
      <c r="P10" s="57">
        <f t="shared" si="4"/>
        <v>20.875</v>
      </c>
    </row>
    <row r="11" spans="1:19" s="43" customFormat="1">
      <c r="A11" s="75">
        <v>6</v>
      </c>
      <c r="B11" s="65" t="s">
        <v>133</v>
      </c>
      <c r="C11" s="24" t="s">
        <v>54</v>
      </c>
      <c r="D11" s="25" t="s">
        <v>127</v>
      </c>
      <c r="E11" s="47">
        <v>2009</v>
      </c>
      <c r="F11" s="50">
        <v>2.2999999999999998</v>
      </c>
      <c r="G11" s="16">
        <f>AVERAGE(2.6,3,2.4)</f>
        <v>2.6666666666666665</v>
      </c>
      <c r="H11" s="31">
        <f t="shared" si="0"/>
        <v>7.3333333333333339</v>
      </c>
      <c r="I11" s="16"/>
      <c r="J11" s="53">
        <f t="shared" si="1"/>
        <v>9.6333333333333329</v>
      </c>
      <c r="K11" s="50">
        <v>2.8</v>
      </c>
      <c r="L11" s="16">
        <f>AVERAGE(1.5,1.9,1.9,1.7)</f>
        <v>1.75</v>
      </c>
      <c r="M11" s="31">
        <f t="shared" si="2"/>
        <v>8.25</v>
      </c>
      <c r="N11" s="16"/>
      <c r="O11" s="53">
        <f t="shared" si="3"/>
        <v>11.05</v>
      </c>
      <c r="P11" s="57">
        <f t="shared" si="4"/>
        <v>20.683333333333334</v>
      </c>
    </row>
    <row r="12" spans="1:19" s="43" customFormat="1">
      <c r="A12" s="75">
        <v>7</v>
      </c>
      <c r="B12" s="65" t="s">
        <v>134</v>
      </c>
      <c r="C12" s="24" t="s">
        <v>80</v>
      </c>
      <c r="D12" s="24"/>
      <c r="E12" s="47">
        <v>2009</v>
      </c>
      <c r="F12" s="50">
        <v>2.5</v>
      </c>
      <c r="G12" s="16">
        <f>AVERAGE(1.6,1.7,1.8)</f>
        <v>1.7</v>
      </c>
      <c r="H12" s="31">
        <f t="shared" si="0"/>
        <v>8.3000000000000007</v>
      </c>
      <c r="I12" s="16"/>
      <c r="J12" s="53">
        <f t="shared" si="1"/>
        <v>10.8</v>
      </c>
      <c r="K12" s="50">
        <v>1.9</v>
      </c>
      <c r="L12" s="16">
        <f>AVERAGE(1.8,2,1.9,2.7)</f>
        <v>2.0999999999999996</v>
      </c>
      <c r="M12" s="31">
        <f t="shared" si="2"/>
        <v>7.9</v>
      </c>
      <c r="N12" s="16"/>
      <c r="O12" s="53">
        <f t="shared" si="3"/>
        <v>9.8000000000000007</v>
      </c>
      <c r="P12" s="57">
        <f t="shared" si="4"/>
        <v>20.6</v>
      </c>
    </row>
    <row r="13" spans="1:19" s="43" customFormat="1">
      <c r="A13" s="75">
        <v>8</v>
      </c>
      <c r="B13" s="65" t="s">
        <v>135</v>
      </c>
      <c r="C13" s="24" t="s">
        <v>73</v>
      </c>
      <c r="D13" s="24" t="s">
        <v>136</v>
      </c>
      <c r="E13" s="47">
        <v>2009</v>
      </c>
      <c r="F13" s="50">
        <v>3.1</v>
      </c>
      <c r="G13" s="16">
        <f>AVERAGE(2.5,2.5,2.4)</f>
        <v>2.4666666666666668</v>
      </c>
      <c r="H13" s="31">
        <f t="shared" si="0"/>
        <v>7.5333333333333332</v>
      </c>
      <c r="I13" s="16"/>
      <c r="J13" s="53">
        <f t="shared" si="1"/>
        <v>10.633333333333333</v>
      </c>
      <c r="K13" s="50">
        <v>2.2000000000000002</v>
      </c>
      <c r="L13" s="16">
        <f>AVERAGE(2.1,2.3,2.3,2.3)</f>
        <v>2.25</v>
      </c>
      <c r="M13" s="31">
        <f t="shared" si="2"/>
        <v>7.75</v>
      </c>
      <c r="N13" s="16"/>
      <c r="O13" s="53">
        <f t="shared" si="3"/>
        <v>9.9499999999999993</v>
      </c>
      <c r="P13" s="57">
        <f t="shared" si="4"/>
        <v>20.583333333333332</v>
      </c>
    </row>
    <row r="14" spans="1:19" s="43" customFormat="1">
      <c r="A14" s="75">
        <v>9</v>
      </c>
      <c r="B14" s="65" t="s">
        <v>137</v>
      </c>
      <c r="C14" s="24" t="s">
        <v>26</v>
      </c>
      <c r="D14" s="24" t="s">
        <v>48</v>
      </c>
      <c r="E14" s="47">
        <v>2009</v>
      </c>
      <c r="F14" s="50">
        <v>2.4</v>
      </c>
      <c r="G14" s="16">
        <f>AVERAGE(1.7,1.6,1.5)</f>
        <v>1.5999999999999999</v>
      </c>
      <c r="H14" s="31">
        <f t="shared" si="0"/>
        <v>8.4</v>
      </c>
      <c r="I14" s="16"/>
      <c r="J14" s="53">
        <f t="shared" si="1"/>
        <v>10.8</v>
      </c>
      <c r="K14" s="50">
        <v>2.9</v>
      </c>
      <c r="L14" s="16">
        <f>AVERAGE(3,3.2,2.9,3.5)</f>
        <v>3.15</v>
      </c>
      <c r="M14" s="31">
        <f t="shared" si="2"/>
        <v>6.85</v>
      </c>
      <c r="N14" s="16"/>
      <c r="O14" s="53">
        <f t="shared" si="3"/>
        <v>9.75</v>
      </c>
      <c r="P14" s="57">
        <f t="shared" si="4"/>
        <v>20.55</v>
      </c>
    </row>
    <row r="15" spans="1:19" s="43" customFormat="1">
      <c r="A15" s="75">
        <v>10</v>
      </c>
      <c r="B15" s="74" t="s">
        <v>138</v>
      </c>
      <c r="C15" s="24" t="s">
        <v>59</v>
      </c>
      <c r="D15" s="24" t="s">
        <v>60</v>
      </c>
      <c r="E15" s="70">
        <v>2009</v>
      </c>
      <c r="F15" s="93">
        <v>2.7</v>
      </c>
      <c r="G15" s="94">
        <f>AVERAGE(2.9,3,2.7)</f>
        <v>2.8666666666666671</v>
      </c>
      <c r="H15" s="31">
        <f t="shared" si="0"/>
        <v>7.1333333333333329</v>
      </c>
      <c r="I15" s="16"/>
      <c r="J15" s="53">
        <f t="shared" si="1"/>
        <v>9.8333333333333321</v>
      </c>
      <c r="K15" s="50">
        <v>2.7</v>
      </c>
      <c r="L15" s="16">
        <f>AVERAGE(2.5,2,2.8,2.2)</f>
        <v>2.375</v>
      </c>
      <c r="M15" s="31">
        <f t="shared" si="2"/>
        <v>7.625</v>
      </c>
      <c r="N15" s="16"/>
      <c r="O15" s="53">
        <f t="shared" si="3"/>
        <v>10.324999999999999</v>
      </c>
      <c r="P15" s="57">
        <f t="shared" si="4"/>
        <v>20.158333333333331</v>
      </c>
    </row>
    <row r="16" spans="1:19" s="43" customFormat="1">
      <c r="A16" s="75">
        <v>11</v>
      </c>
      <c r="B16" s="65" t="s">
        <v>139</v>
      </c>
      <c r="C16" s="24" t="s">
        <v>76</v>
      </c>
      <c r="D16" s="25" t="s">
        <v>77</v>
      </c>
      <c r="E16" s="47">
        <v>2009</v>
      </c>
      <c r="F16" s="50">
        <v>2.9</v>
      </c>
      <c r="G16" s="16">
        <f>AVERAGE(2.6,2.9,3.3)</f>
        <v>2.9333333333333336</v>
      </c>
      <c r="H16" s="31">
        <f t="shared" si="0"/>
        <v>7.0666666666666664</v>
      </c>
      <c r="I16" s="16"/>
      <c r="J16" s="53">
        <f t="shared" si="1"/>
        <v>9.9666666666666668</v>
      </c>
      <c r="K16" s="50">
        <v>2.2000000000000002</v>
      </c>
      <c r="L16" s="16">
        <f>AVERAGE(1.9,2.2,2.2,2.3)</f>
        <v>2.15</v>
      </c>
      <c r="M16" s="31">
        <f t="shared" si="2"/>
        <v>7.85</v>
      </c>
      <c r="N16" s="16"/>
      <c r="O16" s="53">
        <f t="shared" si="3"/>
        <v>10.050000000000001</v>
      </c>
      <c r="P16" s="57">
        <f t="shared" si="4"/>
        <v>20.016666666666666</v>
      </c>
    </row>
    <row r="17" spans="1:16" s="43" customFormat="1">
      <c r="A17" s="75">
        <v>12</v>
      </c>
      <c r="B17" s="72" t="s">
        <v>140</v>
      </c>
      <c r="C17" s="24" t="s">
        <v>121</v>
      </c>
      <c r="D17" s="24" t="s">
        <v>122</v>
      </c>
      <c r="E17" s="47">
        <v>2009</v>
      </c>
      <c r="F17" s="50">
        <v>2.6</v>
      </c>
      <c r="G17" s="16">
        <f>AVERAGE(3,3.3,2.8)</f>
        <v>3.0333333333333332</v>
      </c>
      <c r="H17" s="31">
        <f t="shared" si="0"/>
        <v>6.9666666666666668</v>
      </c>
      <c r="I17" s="16"/>
      <c r="J17" s="53">
        <f t="shared" si="1"/>
        <v>9.5666666666666664</v>
      </c>
      <c r="K17" s="50">
        <v>2.7</v>
      </c>
      <c r="L17" s="16">
        <f>AVERAGE(2.6,2.7,3,2)</f>
        <v>2.5750000000000002</v>
      </c>
      <c r="M17" s="31">
        <f t="shared" si="2"/>
        <v>7.4249999999999998</v>
      </c>
      <c r="N17" s="16"/>
      <c r="O17" s="53">
        <f t="shared" si="3"/>
        <v>10.125</v>
      </c>
      <c r="P17" s="57">
        <f t="shared" si="4"/>
        <v>19.691666666666666</v>
      </c>
    </row>
    <row r="18" spans="1:16">
      <c r="A18" s="75">
        <v>13</v>
      </c>
      <c r="B18" s="65" t="s">
        <v>141</v>
      </c>
      <c r="C18" s="24" t="s">
        <v>23</v>
      </c>
      <c r="D18" s="24" t="s">
        <v>45</v>
      </c>
      <c r="E18" s="47">
        <v>2009</v>
      </c>
      <c r="F18" s="50">
        <v>2.8</v>
      </c>
      <c r="G18" s="16">
        <f>AVERAGE(3.6,3.2,2.7)</f>
        <v>3.1666666666666665</v>
      </c>
      <c r="H18" s="31">
        <f t="shared" si="0"/>
        <v>6.8333333333333339</v>
      </c>
      <c r="I18" s="16"/>
      <c r="J18" s="53">
        <f t="shared" si="1"/>
        <v>9.6333333333333329</v>
      </c>
      <c r="K18" s="50">
        <v>1.5</v>
      </c>
      <c r="L18" s="16">
        <f>AVERAGE(2,2,2,2.4)</f>
        <v>2.1</v>
      </c>
      <c r="M18" s="31">
        <f t="shared" si="2"/>
        <v>7.9</v>
      </c>
      <c r="N18" s="16"/>
      <c r="O18" s="53">
        <f t="shared" si="3"/>
        <v>9.4</v>
      </c>
      <c r="P18" s="57">
        <f t="shared" si="4"/>
        <v>19.033333333333331</v>
      </c>
    </row>
    <row r="19" spans="1:16">
      <c r="A19" s="75">
        <v>14</v>
      </c>
      <c r="B19" s="65" t="s">
        <v>142</v>
      </c>
      <c r="C19" s="24" t="s">
        <v>20</v>
      </c>
      <c r="D19" s="24" t="s">
        <v>35</v>
      </c>
      <c r="E19" s="47">
        <v>2009</v>
      </c>
      <c r="F19" s="50">
        <v>2.5</v>
      </c>
      <c r="G19" s="16">
        <f>AVERAGE(2.8,2.2,2.6)</f>
        <v>2.5333333333333332</v>
      </c>
      <c r="H19" s="31">
        <f t="shared" si="0"/>
        <v>7.4666666666666668</v>
      </c>
      <c r="I19" s="16">
        <v>-2</v>
      </c>
      <c r="J19" s="53">
        <f t="shared" si="1"/>
        <v>7.9666666666666668</v>
      </c>
      <c r="K19" s="50">
        <v>2.7</v>
      </c>
      <c r="L19" s="16">
        <f>AVERAGE(1.7,2,2,1.5)</f>
        <v>1.8</v>
      </c>
      <c r="M19" s="31">
        <f t="shared" si="2"/>
        <v>8.1999999999999993</v>
      </c>
      <c r="N19" s="16"/>
      <c r="O19" s="53">
        <f t="shared" si="3"/>
        <v>10.899999999999999</v>
      </c>
      <c r="P19" s="57">
        <f t="shared" si="4"/>
        <v>18.866666666666667</v>
      </c>
    </row>
    <row r="20" spans="1:16">
      <c r="A20" s="75">
        <v>15</v>
      </c>
      <c r="B20" s="65" t="s">
        <v>143</v>
      </c>
      <c r="C20" s="24" t="s">
        <v>20</v>
      </c>
      <c r="D20" s="24" t="s">
        <v>35</v>
      </c>
      <c r="E20" s="47">
        <v>2009</v>
      </c>
      <c r="F20" s="50">
        <v>2.5</v>
      </c>
      <c r="G20" s="16">
        <f>AVERAGE(3.2,2.3,2.2)</f>
        <v>2.5666666666666669</v>
      </c>
      <c r="H20" s="31">
        <f t="shared" si="0"/>
        <v>7.4333333333333336</v>
      </c>
      <c r="I20" s="16">
        <v>-2</v>
      </c>
      <c r="J20" s="53">
        <f t="shared" si="1"/>
        <v>7.9333333333333336</v>
      </c>
      <c r="K20" s="50">
        <v>2.7</v>
      </c>
      <c r="L20" s="16">
        <f>AVERAGE(1.6,2,2.5,1.8)</f>
        <v>1.9749999999999999</v>
      </c>
      <c r="M20" s="31">
        <f t="shared" si="2"/>
        <v>8.0250000000000004</v>
      </c>
      <c r="N20" s="16"/>
      <c r="O20" s="53">
        <f t="shared" si="3"/>
        <v>10.725000000000001</v>
      </c>
      <c r="P20" s="57">
        <f t="shared" si="4"/>
        <v>18.658333333333335</v>
      </c>
    </row>
    <row r="21" spans="1:16">
      <c r="A21" s="75">
        <v>16</v>
      </c>
      <c r="B21" s="64" t="s">
        <v>144</v>
      </c>
      <c r="C21" s="24" t="s">
        <v>62</v>
      </c>
      <c r="D21" s="25" t="s">
        <v>63</v>
      </c>
      <c r="E21" s="47">
        <v>2009</v>
      </c>
      <c r="F21" s="50">
        <v>2.6</v>
      </c>
      <c r="G21" s="16">
        <f>AVERAGE(5,5.9,4.8)</f>
        <v>5.2333333333333334</v>
      </c>
      <c r="H21" s="31">
        <f t="shared" si="0"/>
        <v>4.7666666666666666</v>
      </c>
      <c r="I21" s="16"/>
      <c r="J21" s="53">
        <f t="shared" si="1"/>
        <v>7.3666666666666671</v>
      </c>
      <c r="K21" s="50">
        <v>2.9</v>
      </c>
      <c r="L21" s="16">
        <f>AVERAGE(3.3,3.6,3.7,3.3)</f>
        <v>3.4750000000000005</v>
      </c>
      <c r="M21" s="31">
        <f t="shared" si="2"/>
        <v>6.5249999999999995</v>
      </c>
      <c r="N21" s="16"/>
      <c r="O21" s="53">
        <f t="shared" si="3"/>
        <v>9.4249999999999989</v>
      </c>
      <c r="P21" s="57">
        <f t="shared" si="4"/>
        <v>16.791666666666664</v>
      </c>
    </row>
    <row r="22" spans="1:16">
      <c r="A22" s="75">
        <v>17</v>
      </c>
      <c r="B22" s="65" t="s">
        <v>145</v>
      </c>
      <c r="C22" s="24" t="s">
        <v>121</v>
      </c>
      <c r="D22" s="24" t="s">
        <v>122</v>
      </c>
      <c r="E22" s="47">
        <v>2009</v>
      </c>
      <c r="F22" s="50">
        <v>2.4</v>
      </c>
      <c r="G22" s="16">
        <f>AVERAGE(3,3.3,3)</f>
        <v>3.1</v>
      </c>
      <c r="H22" s="31">
        <f t="shared" si="0"/>
        <v>6.9</v>
      </c>
      <c r="I22" s="16">
        <v>-2</v>
      </c>
      <c r="J22" s="53">
        <f t="shared" si="1"/>
        <v>7.3000000000000007</v>
      </c>
      <c r="K22" s="50">
        <v>2</v>
      </c>
      <c r="L22" s="16">
        <f>AVERAGE(2.9,3,3.1,2.3)</f>
        <v>2.8250000000000002</v>
      </c>
      <c r="M22" s="31">
        <f t="shared" si="2"/>
        <v>7.1749999999999998</v>
      </c>
      <c r="N22" s="16"/>
      <c r="O22" s="53">
        <f t="shared" si="3"/>
        <v>9.1750000000000007</v>
      </c>
      <c r="P22" s="57">
        <f t="shared" si="4"/>
        <v>16.475000000000001</v>
      </c>
    </row>
    <row r="23" spans="1:16">
      <c r="A23" s="75">
        <v>18</v>
      </c>
      <c r="B23" s="65" t="s">
        <v>146</v>
      </c>
      <c r="C23" s="24" t="s">
        <v>32</v>
      </c>
      <c r="D23" s="24" t="s">
        <v>116</v>
      </c>
      <c r="E23" s="47">
        <v>2009</v>
      </c>
      <c r="F23" s="50">
        <v>2.7</v>
      </c>
      <c r="G23" s="16">
        <f>AVERAGE(6.4,6.7,6)</f>
        <v>6.3666666666666671</v>
      </c>
      <c r="H23" s="31">
        <f t="shared" si="0"/>
        <v>3.6333333333333329</v>
      </c>
      <c r="I23" s="16"/>
      <c r="J23" s="53">
        <f t="shared" si="1"/>
        <v>6.333333333333333</v>
      </c>
      <c r="K23" s="50">
        <v>1.4</v>
      </c>
      <c r="L23" s="16">
        <f>AVERAGE(4.6,5,5.5,5)</f>
        <v>5.0250000000000004</v>
      </c>
      <c r="M23" s="31">
        <f t="shared" si="2"/>
        <v>4.9749999999999996</v>
      </c>
      <c r="N23" s="16"/>
      <c r="O23" s="53">
        <f t="shared" si="3"/>
        <v>6.375</v>
      </c>
      <c r="P23" s="57">
        <f t="shared" si="4"/>
        <v>12.708333333333332</v>
      </c>
    </row>
    <row r="24" spans="1:16" ht="13.5" thickBot="1">
      <c r="A24" s="84">
        <v>19</v>
      </c>
      <c r="B24" s="66" t="s">
        <v>147</v>
      </c>
      <c r="C24" s="39" t="s">
        <v>20</v>
      </c>
      <c r="D24" s="39" t="s">
        <v>35</v>
      </c>
      <c r="E24" s="48">
        <v>2009</v>
      </c>
      <c r="F24" s="51">
        <v>2.4</v>
      </c>
      <c r="G24" s="35">
        <f>AVERAGE(3.6,2.3,2.4)</f>
        <v>2.7666666666666671</v>
      </c>
      <c r="H24" s="36">
        <f t="shared" si="0"/>
        <v>7.2333333333333325</v>
      </c>
      <c r="I24" s="35">
        <v>-4</v>
      </c>
      <c r="J24" s="54">
        <f t="shared" si="1"/>
        <v>5.6333333333333329</v>
      </c>
      <c r="K24" s="51">
        <v>2.1</v>
      </c>
      <c r="L24" s="35">
        <f>AVERAGE(4.8,5,5.9,4.9)</f>
        <v>5.15</v>
      </c>
      <c r="M24" s="36">
        <f t="shared" si="2"/>
        <v>4.8499999999999996</v>
      </c>
      <c r="N24" s="35"/>
      <c r="O24" s="54">
        <f t="shared" si="3"/>
        <v>6.9499999999999993</v>
      </c>
      <c r="P24" s="58">
        <f t="shared" si="4"/>
        <v>12.583333333333332</v>
      </c>
    </row>
  </sheetData>
  <sheetProtection selectLockedCells="1" selectUnlockedCells="1"/>
  <autoFilter ref="A5:P18">
    <sortState ref="A6:P25">
      <sortCondition descending="1" ref="P5:P19"/>
    </sortState>
  </autoFilter>
  <mergeCells count="2">
    <mergeCell ref="F4:J4"/>
    <mergeCell ref="K4:O4"/>
  </mergeCells>
  <phoneticPr fontId="2" type="noConversion"/>
  <pageMargins left="0.27569444444444446" right="0.19652777777777777" top="0.27569444444444446" bottom="0.31527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S29"/>
  <sheetViews>
    <sheetView zoomScaleNormal="100" workbookViewId="0">
      <selection activeCell="A29" sqref="A6:A29"/>
    </sheetView>
  </sheetViews>
  <sheetFormatPr defaultRowHeight="12.75"/>
  <cols>
    <col min="1" max="1" width="3.85546875" style="3" customWidth="1"/>
    <col min="2" max="2" width="22" style="3" customWidth="1"/>
    <col min="3" max="3" width="21" style="3" bestFit="1" customWidth="1"/>
    <col min="4" max="4" width="17" style="3" customWidth="1"/>
    <col min="5" max="5" width="5.28515625" style="19" customWidth="1"/>
    <col min="6" max="9" width="6.140625" style="3" customWidth="1"/>
    <col min="10" max="10" width="7.7109375" style="3" customWidth="1"/>
    <col min="11" max="14" width="6.140625" style="3" customWidth="1"/>
    <col min="15" max="15" width="7.7109375" style="3" customWidth="1"/>
    <col min="16" max="16" width="9.7109375" style="3" customWidth="1"/>
    <col min="17" max="16384" width="9.140625" style="3"/>
  </cols>
  <sheetData>
    <row r="1" spans="1:19" ht="26.25" customHeight="1">
      <c r="A1" s="2" t="s">
        <v>148</v>
      </c>
      <c r="O1" s="2" t="s">
        <v>1</v>
      </c>
      <c r="P1" s="4"/>
    </row>
    <row r="2" spans="1:19" ht="12.75" customHeight="1">
      <c r="B2" s="5" t="s">
        <v>2</v>
      </c>
      <c r="D2" s="6" t="s">
        <v>41</v>
      </c>
      <c r="L2" s="1"/>
    </row>
    <row r="3" spans="1:19" ht="13.5" thickBot="1">
      <c r="B3" s="7">
        <v>42497</v>
      </c>
      <c r="D3" s="3" t="s">
        <v>4</v>
      </c>
    </row>
    <row r="4" spans="1:19" ht="18.75" customHeight="1">
      <c r="A4" s="81"/>
      <c r="B4" s="32" t="s">
        <v>149</v>
      </c>
      <c r="C4" s="8" t="s">
        <v>150</v>
      </c>
      <c r="D4" s="9"/>
      <c r="E4" s="136"/>
      <c r="F4" s="156" t="s">
        <v>151</v>
      </c>
      <c r="G4" s="156"/>
      <c r="H4" s="156"/>
      <c r="I4" s="156"/>
      <c r="J4" s="156"/>
      <c r="K4" s="156" t="s">
        <v>7</v>
      </c>
      <c r="L4" s="156"/>
      <c r="M4" s="156"/>
      <c r="N4" s="156"/>
      <c r="O4" s="156"/>
      <c r="P4" s="42"/>
      <c r="S4" s="98"/>
    </row>
    <row r="5" spans="1:19" ht="19.5" thickBot="1">
      <c r="A5" s="92" t="s">
        <v>10</v>
      </c>
      <c r="B5" s="8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2" t="s">
        <v>18</v>
      </c>
      <c r="J5" s="13" t="s">
        <v>9</v>
      </c>
      <c r="K5" s="11" t="s">
        <v>15</v>
      </c>
      <c r="L5" s="11" t="s">
        <v>16</v>
      </c>
      <c r="M5" s="11" t="s">
        <v>152</v>
      </c>
      <c r="N5" s="11" t="s">
        <v>18</v>
      </c>
      <c r="O5" s="13" t="s">
        <v>9</v>
      </c>
      <c r="P5" s="41" t="s">
        <v>9</v>
      </c>
      <c r="S5" s="90"/>
    </row>
    <row r="6" spans="1:19">
      <c r="A6" s="63">
        <v>1</v>
      </c>
      <c r="B6" s="65" t="s">
        <v>153</v>
      </c>
      <c r="C6" s="24" t="s">
        <v>69</v>
      </c>
      <c r="D6" s="24" t="s">
        <v>154</v>
      </c>
      <c r="E6" s="47">
        <v>2010</v>
      </c>
      <c r="F6" s="50">
        <v>2.5</v>
      </c>
      <c r="G6" s="16">
        <f>AVERAGE(1,1.1,0.9,1.2)</f>
        <v>1.05</v>
      </c>
      <c r="H6" s="31">
        <f t="shared" ref="H6:H29" si="0">IF(ISBLANK(G6),"",10-G6)</f>
        <v>8.9499999999999993</v>
      </c>
      <c r="I6" s="16"/>
      <c r="J6" s="53">
        <f t="shared" ref="J6:J29" si="1">IF(ISBLANK(G6),"",F6+(10-G6)+I6)</f>
        <v>11.45</v>
      </c>
      <c r="K6" s="50">
        <v>2.5</v>
      </c>
      <c r="L6" s="16">
        <f>AVERAGE(1,1,0.9,0.9)</f>
        <v>0.95</v>
      </c>
      <c r="M6" s="31">
        <f t="shared" ref="M6:M29" si="2">IF(ISBLANK(L6),"",10-L6)</f>
        <v>9.0500000000000007</v>
      </c>
      <c r="N6" s="16"/>
      <c r="O6" s="53">
        <f t="shared" ref="O6:O29" si="3">IF(ISBLANK(L6),"",K6+(10-L6)+N6)</f>
        <v>11.55</v>
      </c>
      <c r="P6" s="76">
        <f t="shared" ref="P6:P29" si="4">IF(ISBLANK(J6),"",IF(ISBLANK(O6),"",J6+O6))</f>
        <v>23</v>
      </c>
    </row>
    <row r="7" spans="1:19">
      <c r="A7" s="75">
        <v>2</v>
      </c>
      <c r="B7" s="64" t="s">
        <v>155</v>
      </c>
      <c r="C7" s="26" t="s">
        <v>73</v>
      </c>
      <c r="D7" s="26" t="s">
        <v>136</v>
      </c>
      <c r="E7" s="46">
        <v>2010</v>
      </c>
      <c r="F7" s="50">
        <v>2.5</v>
      </c>
      <c r="G7" s="16">
        <f>AVERAGE(1.4,1.9,1.5,1.6)</f>
        <v>1.6</v>
      </c>
      <c r="H7" s="31">
        <f t="shared" si="0"/>
        <v>8.4</v>
      </c>
      <c r="I7" s="16"/>
      <c r="J7" s="53">
        <f t="shared" si="1"/>
        <v>10.9</v>
      </c>
      <c r="K7" s="50">
        <v>2.5</v>
      </c>
      <c r="L7" s="16">
        <f>AVERAGE(1.7,1.5,1.6,2)</f>
        <v>1.7000000000000002</v>
      </c>
      <c r="M7" s="31">
        <f t="shared" si="2"/>
        <v>8.3000000000000007</v>
      </c>
      <c r="N7" s="16"/>
      <c r="O7" s="53">
        <f t="shared" si="3"/>
        <v>10.8</v>
      </c>
      <c r="P7" s="76">
        <f t="shared" si="4"/>
        <v>21.700000000000003</v>
      </c>
    </row>
    <row r="8" spans="1:19">
      <c r="A8" s="75">
        <v>3</v>
      </c>
      <c r="B8" s="65" t="s">
        <v>156</v>
      </c>
      <c r="C8" s="24" t="s">
        <v>106</v>
      </c>
      <c r="D8" s="24" t="s">
        <v>157</v>
      </c>
      <c r="E8" s="47">
        <v>2010</v>
      </c>
      <c r="F8" s="50">
        <v>2</v>
      </c>
      <c r="G8" s="16">
        <f>AVERAGE(1.5,1.5,1.5,1.7)</f>
        <v>1.55</v>
      </c>
      <c r="H8" s="31">
        <f t="shared" si="0"/>
        <v>8.4499999999999993</v>
      </c>
      <c r="I8" s="16"/>
      <c r="J8" s="53">
        <f t="shared" si="1"/>
        <v>10.45</v>
      </c>
      <c r="K8" s="50">
        <v>2.5</v>
      </c>
      <c r="L8" s="16">
        <f>AVERAGE(2.2,2,1.6,2)</f>
        <v>1.9500000000000002</v>
      </c>
      <c r="M8" s="31">
        <f t="shared" si="2"/>
        <v>8.0500000000000007</v>
      </c>
      <c r="N8" s="16"/>
      <c r="O8" s="53">
        <f t="shared" si="3"/>
        <v>10.55</v>
      </c>
      <c r="P8" s="76">
        <f t="shared" si="4"/>
        <v>21</v>
      </c>
    </row>
    <row r="9" spans="1:19">
      <c r="A9" s="75">
        <v>4</v>
      </c>
      <c r="B9" s="65" t="s">
        <v>158</v>
      </c>
      <c r="C9" s="24" t="s">
        <v>20</v>
      </c>
      <c r="D9" s="24" t="s">
        <v>35</v>
      </c>
      <c r="E9" s="47">
        <v>2010</v>
      </c>
      <c r="F9" s="50">
        <v>2.5</v>
      </c>
      <c r="G9" s="16">
        <f>AVERAGE(2.5,2.6,2.3,2.3)</f>
        <v>2.4249999999999998</v>
      </c>
      <c r="H9" s="31">
        <f t="shared" si="0"/>
        <v>7.5750000000000002</v>
      </c>
      <c r="I9" s="16"/>
      <c r="J9" s="53">
        <f t="shared" si="1"/>
        <v>10.074999999999999</v>
      </c>
      <c r="K9" s="50">
        <v>2.5</v>
      </c>
      <c r="L9" s="16">
        <f>AVERAGE(1.8,1.8,1.4,1.9)</f>
        <v>1.7250000000000001</v>
      </c>
      <c r="M9" s="31">
        <f t="shared" si="2"/>
        <v>8.2750000000000004</v>
      </c>
      <c r="N9" s="16"/>
      <c r="O9" s="53">
        <f t="shared" si="3"/>
        <v>10.775</v>
      </c>
      <c r="P9" s="76">
        <f t="shared" si="4"/>
        <v>20.85</v>
      </c>
    </row>
    <row r="10" spans="1:19">
      <c r="A10" s="75">
        <v>5</v>
      </c>
      <c r="B10" s="65" t="s">
        <v>159</v>
      </c>
      <c r="C10" s="24" t="s">
        <v>73</v>
      </c>
      <c r="D10" s="24" t="s">
        <v>136</v>
      </c>
      <c r="E10" s="47">
        <v>2010</v>
      </c>
      <c r="F10" s="50">
        <v>2.5</v>
      </c>
      <c r="G10" s="16">
        <f>AVERAGE(2.5,2.6,2.7,2.5)</f>
        <v>2.5750000000000002</v>
      </c>
      <c r="H10" s="31">
        <f t="shared" si="0"/>
        <v>7.4249999999999998</v>
      </c>
      <c r="I10" s="16"/>
      <c r="J10" s="53">
        <f t="shared" si="1"/>
        <v>9.9250000000000007</v>
      </c>
      <c r="K10" s="50">
        <v>2.5</v>
      </c>
      <c r="L10" s="16">
        <f>AVERAGE(1.7,1.7,1.6,1.5)</f>
        <v>1.625</v>
      </c>
      <c r="M10" s="31">
        <f t="shared" si="2"/>
        <v>8.375</v>
      </c>
      <c r="N10" s="16"/>
      <c r="O10" s="53">
        <f t="shared" si="3"/>
        <v>10.875</v>
      </c>
      <c r="P10" s="76">
        <f t="shared" si="4"/>
        <v>20.8</v>
      </c>
    </row>
    <row r="11" spans="1:19">
      <c r="A11" s="75">
        <v>6</v>
      </c>
      <c r="B11" s="65" t="s">
        <v>160</v>
      </c>
      <c r="C11" s="24" t="s">
        <v>121</v>
      </c>
      <c r="D11" s="24" t="s">
        <v>122</v>
      </c>
      <c r="E11" s="47">
        <v>2010</v>
      </c>
      <c r="F11" s="50">
        <v>2.5</v>
      </c>
      <c r="G11" s="16">
        <f>AVERAGE(2.3,1.9,2.3,2.1)</f>
        <v>2.15</v>
      </c>
      <c r="H11" s="31">
        <f t="shared" si="0"/>
        <v>7.85</v>
      </c>
      <c r="I11" s="16"/>
      <c r="J11" s="53">
        <f t="shared" si="1"/>
        <v>10.35</v>
      </c>
      <c r="K11" s="50">
        <v>2.5</v>
      </c>
      <c r="L11" s="16">
        <f>AVERAGE(2.2,1.9,2.3,1.8)</f>
        <v>2.0499999999999998</v>
      </c>
      <c r="M11" s="31">
        <f t="shared" si="2"/>
        <v>7.95</v>
      </c>
      <c r="N11" s="16"/>
      <c r="O11" s="53">
        <f t="shared" si="3"/>
        <v>10.45</v>
      </c>
      <c r="P11" s="76">
        <f t="shared" si="4"/>
        <v>20.799999999999997</v>
      </c>
      <c r="Q11" s="21"/>
    </row>
    <row r="12" spans="1:19">
      <c r="A12" s="75">
        <v>7</v>
      </c>
      <c r="B12" s="65" t="s">
        <v>161</v>
      </c>
      <c r="C12" s="24" t="s">
        <v>106</v>
      </c>
      <c r="D12" s="24" t="s">
        <v>157</v>
      </c>
      <c r="E12" s="47">
        <v>2010</v>
      </c>
      <c r="F12" s="50">
        <v>2</v>
      </c>
      <c r="G12" s="16">
        <f>AVERAGE(2,1.6,1.9,1.8)</f>
        <v>1.825</v>
      </c>
      <c r="H12" s="31">
        <f t="shared" si="0"/>
        <v>8.1750000000000007</v>
      </c>
      <c r="I12" s="16"/>
      <c r="J12" s="53">
        <f t="shared" si="1"/>
        <v>10.175000000000001</v>
      </c>
      <c r="K12" s="50">
        <v>2.5</v>
      </c>
      <c r="L12" s="16">
        <f>AVERAGE(2,1.8,1.9,2)</f>
        <v>1.9249999999999998</v>
      </c>
      <c r="M12" s="31">
        <f t="shared" si="2"/>
        <v>8.0749999999999993</v>
      </c>
      <c r="N12" s="16"/>
      <c r="O12" s="53">
        <f t="shared" si="3"/>
        <v>10.574999999999999</v>
      </c>
      <c r="P12" s="76">
        <f t="shared" si="4"/>
        <v>20.75</v>
      </c>
    </row>
    <row r="13" spans="1:19">
      <c r="A13" s="75">
        <v>8</v>
      </c>
      <c r="B13" s="65" t="s">
        <v>162</v>
      </c>
      <c r="C13" s="24" t="s">
        <v>20</v>
      </c>
      <c r="D13" s="24" t="s">
        <v>35</v>
      </c>
      <c r="E13" s="47">
        <v>2010</v>
      </c>
      <c r="F13" s="50">
        <v>2.5</v>
      </c>
      <c r="G13" s="16">
        <f>AVERAGE(2.4,2.3,2.3,2)</f>
        <v>2.25</v>
      </c>
      <c r="H13" s="31">
        <f t="shared" si="0"/>
        <v>7.75</v>
      </c>
      <c r="I13" s="16"/>
      <c r="J13" s="53">
        <f t="shared" si="1"/>
        <v>10.25</v>
      </c>
      <c r="K13" s="50">
        <v>2.5</v>
      </c>
      <c r="L13" s="16">
        <f>AVERAGE(2.5,2.5,2.2,2.2)</f>
        <v>2.35</v>
      </c>
      <c r="M13" s="31">
        <f t="shared" si="2"/>
        <v>7.65</v>
      </c>
      <c r="N13" s="16"/>
      <c r="O13" s="53">
        <f t="shared" si="3"/>
        <v>10.15</v>
      </c>
      <c r="P13" s="76">
        <f t="shared" si="4"/>
        <v>20.399999999999999</v>
      </c>
    </row>
    <row r="14" spans="1:19">
      <c r="A14" s="75">
        <v>9</v>
      </c>
      <c r="B14" s="83" t="s">
        <v>163</v>
      </c>
      <c r="C14" s="91" t="s">
        <v>23</v>
      </c>
      <c r="D14" s="131" t="s">
        <v>45</v>
      </c>
      <c r="E14" s="78">
        <v>2010</v>
      </c>
      <c r="F14" s="50">
        <v>2.5</v>
      </c>
      <c r="G14" s="16">
        <f>AVERAGE(2.3,2.6,1.9,2.5)</f>
        <v>2.3250000000000002</v>
      </c>
      <c r="H14" s="31">
        <f t="shared" si="0"/>
        <v>7.6749999999999998</v>
      </c>
      <c r="I14" s="16"/>
      <c r="J14" s="53">
        <f t="shared" si="1"/>
        <v>10.175000000000001</v>
      </c>
      <c r="K14" s="50">
        <v>2.5</v>
      </c>
      <c r="L14" s="16">
        <f>AVERAGE(2.5,2.3,2.1,2.2)</f>
        <v>2.2750000000000004</v>
      </c>
      <c r="M14" s="31">
        <f t="shared" si="2"/>
        <v>7.7249999999999996</v>
      </c>
      <c r="N14" s="16"/>
      <c r="O14" s="53">
        <f t="shared" si="3"/>
        <v>10.225</v>
      </c>
      <c r="P14" s="76">
        <f t="shared" si="4"/>
        <v>20.399999999999999</v>
      </c>
    </row>
    <row r="15" spans="1:19">
      <c r="A15" s="75">
        <v>10</v>
      </c>
      <c r="B15" s="65" t="s">
        <v>164</v>
      </c>
      <c r="C15" s="24" t="s">
        <v>26</v>
      </c>
      <c r="D15" s="24" t="s">
        <v>48</v>
      </c>
      <c r="E15" s="47">
        <v>2010</v>
      </c>
      <c r="F15" s="50">
        <v>2.5</v>
      </c>
      <c r="G15" s="16">
        <f>AVERAGE(3.2,2.7,2.9,2.9)</f>
        <v>2.9250000000000003</v>
      </c>
      <c r="H15" s="31">
        <f t="shared" si="0"/>
        <v>7.0749999999999993</v>
      </c>
      <c r="I15" s="16"/>
      <c r="J15" s="53">
        <f t="shared" si="1"/>
        <v>9.5749999999999993</v>
      </c>
      <c r="K15" s="50">
        <v>2.5</v>
      </c>
      <c r="L15" s="16">
        <f>AVERAGE(1.6,1.8,1.7,1.7)</f>
        <v>1.7000000000000002</v>
      </c>
      <c r="M15" s="31">
        <f t="shared" si="2"/>
        <v>8.3000000000000007</v>
      </c>
      <c r="N15" s="16"/>
      <c r="O15" s="53">
        <f t="shared" si="3"/>
        <v>10.8</v>
      </c>
      <c r="P15" s="76">
        <f t="shared" si="4"/>
        <v>20.375</v>
      </c>
    </row>
    <row r="16" spans="1:19">
      <c r="A16" s="75">
        <v>11</v>
      </c>
      <c r="B16" s="74" t="s">
        <v>165</v>
      </c>
      <c r="C16" s="24" t="s">
        <v>23</v>
      </c>
      <c r="D16" s="24" t="s">
        <v>45</v>
      </c>
      <c r="E16" s="70">
        <v>2010</v>
      </c>
      <c r="F16" s="50">
        <v>2.5</v>
      </c>
      <c r="G16" s="16">
        <f>AVERAGE(2.7,2.8,2.5,2.3)</f>
        <v>2.5750000000000002</v>
      </c>
      <c r="H16" s="31">
        <f t="shared" si="0"/>
        <v>7.4249999999999998</v>
      </c>
      <c r="I16" s="16"/>
      <c r="J16" s="53">
        <f t="shared" si="1"/>
        <v>9.9250000000000007</v>
      </c>
      <c r="K16" s="50">
        <v>2</v>
      </c>
      <c r="L16" s="16">
        <f>AVERAGE(2,2,1.6,1.8)</f>
        <v>1.8499999999999999</v>
      </c>
      <c r="M16" s="31">
        <f t="shared" si="2"/>
        <v>8.15</v>
      </c>
      <c r="N16" s="16"/>
      <c r="O16" s="53">
        <f t="shared" si="3"/>
        <v>10.15</v>
      </c>
      <c r="P16" s="76">
        <f t="shared" si="4"/>
        <v>20.075000000000003</v>
      </c>
      <c r="R16" s="18"/>
    </row>
    <row r="17" spans="1:16">
      <c r="A17" s="75">
        <v>12</v>
      </c>
      <c r="B17" s="65" t="s">
        <v>166</v>
      </c>
      <c r="C17" s="24" t="s">
        <v>20</v>
      </c>
      <c r="D17" s="24" t="s">
        <v>35</v>
      </c>
      <c r="E17" s="47">
        <v>2010</v>
      </c>
      <c r="F17" s="50">
        <v>2.5</v>
      </c>
      <c r="G17" s="16">
        <f>AVERAGE(2.4,2.1,2.5,2.4)</f>
        <v>2.35</v>
      </c>
      <c r="H17" s="31">
        <f t="shared" si="0"/>
        <v>7.65</v>
      </c>
      <c r="I17" s="16"/>
      <c r="J17" s="53">
        <f t="shared" si="1"/>
        <v>10.15</v>
      </c>
      <c r="K17" s="50">
        <v>2.5</v>
      </c>
      <c r="L17" s="16">
        <f>AVERAGE(3,2.7,2.5,2.3)</f>
        <v>2.625</v>
      </c>
      <c r="M17" s="31">
        <f t="shared" si="2"/>
        <v>7.375</v>
      </c>
      <c r="N17" s="16"/>
      <c r="O17" s="53">
        <f t="shared" si="3"/>
        <v>9.875</v>
      </c>
      <c r="P17" s="76">
        <f t="shared" si="4"/>
        <v>20.024999999999999</v>
      </c>
    </row>
    <row r="18" spans="1:16">
      <c r="A18" s="75">
        <v>13</v>
      </c>
      <c r="B18" s="64" t="s">
        <v>167</v>
      </c>
      <c r="C18" s="26" t="s">
        <v>32</v>
      </c>
      <c r="D18" s="27" t="s">
        <v>168</v>
      </c>
      <c r="E18" s="46">
        <v>2010</v>
      </c>
      <c r="F18" s="50">
        <v>2.5</v>
      </c>
      <c r="G18" s="16">
        <f>AVERAGE(2.2,1.9,2.5,2.6)</f>
        <v>2.2999999999999998</v>
      </c>
      <c r="H18" s="31">
        <f t="shared" si="0"/>
        <v>7.7</v>
      </c>
      <c r="I18" s="16"/>
      <c r="J18" s="53">
        <f t="shared" si="1"/>
        <v>10.199999999999999</v>
      </c>
      <c r="K18" s="50">
        <v>2.5</v>
      </c>
      <c r="L18" s="16">
        <f>AVERAGE(2.8,2.8,2.6,3)</f>
        <v>2.8</v>
      </c>
      <c r="M18" s="31">
        <f t="shared" si="2"/>
        <v>7.2</v>
      </c>
      <c r="N18" s="16"/>
      <c r="O18" s="53">
        <f t="shared" si="3"/>
        <v>9.6999999999999993</v>
      </c>
      <c r="P18" s="76">
        <f t="shared" si="4"/>
        <v>19.899999999999999</v>
      </c>
    </row>
    <row r="19" spans="1:16">
      <c r="A19" s="75">
        <v>14</v>
      </c>
      <c r="B19" s="74" t="s">
        <v>169</v>
      </c>
      <c r="C19" s="24" t="s">
        <v>90</v>
      </c>
      <c r="D19" s="24" t="s">
        <v>170</v>
      </c>
      <c r="E19" s="70">
        <v>2010</v>
      </c>
      <c r="F19" s="50">
        <v>2.5</v>
      </c>
      <c r="G19" s="16">
        <f>AVERAGE(2,2.3,2.1,2.2)</f>
        <v>2.1500000000000004</v>
      </c>
      <c r="H19" s="31">
        <f t="shared" si="0"/>
        <v>7.85</v>
      </c>
      <c r="I19" s="16"/>
      <c r="J19" s="53">
        <f t="shared" si="1"/>
        <v>10.35</v>
      </c>
      <c r="K19" s="50">
        <v>2.5</v>
      </c>
      <c r="L19" s="16">
        <f>AVERAGE(3,3,3.1,2.8)</f>
        <v>2.9749999999999996</v>
      </c>
      <c r="M19" s="31">
        <f t="shared" si="2"/>
        <v>7.0250000000000004</v>
      </c>
      <c r="N19" s="16"/>
      <c r="O19" s="53">
        <f t="shared" si="3"/>
        <v>9.5250000000000004</v>
      </c>
      <c r="P19" s="76">
        <f t="shared" si="4"/>
        <v>19.875</v>
      </c>
    </row>
    <row r="20" spans="1:16">
      <c r="A20" s="75">
        <v>15</v>
      </c>
      <c r="B20" s="74" t="s">
        <v>171</v>
      </c>
      <c r="C20" s="24" t="s">
        <v>54</v>
      </c>
      <c r="D20" s="24" t="s">
        <v>172</v>
      </c>
      <c r="E20" s="70">
        <v>2010</v>
      </c>
      <c r="F20" s="50">
        <v>2.5</v>
      </c>
      <c r="G20" s="16">
        <f>AVERAGE(2.1,2.4,2.5,2.3)</f>
        <v>2.3250000000000002</v>
      </c>
      <c r="H20" s="31">
        <f t="shared" si="0"/>
        <v>7.6749999999999998</v>
      </c>
      <c r="I20" s="16"/>
      <c r="J20" s="53">
        <f t="shared" si="1"/>
        <v>10.175000000000001</v>
      </c>
      <c r="K20" s="50">
        <v>2</v>
      </c>
      <c r="L20" s="16">
        <f>AVERAGE(2.6,2.6,2,2.3)</f>
        <v>2.375</v>
      </c>
      <c r="M20" s="31">
        <f t="shared" si="2"/>
        <v>7.625</v>
      </c>
      <c r="N20" s="16"/>
      <c r="O20" s="53">
        <f t="shared" si="3"/>
        <v>9.625</v>
      </c>
      <c r="P20" s="76">
        <f t="shared" si="4"/>
        <v>19.8</v>
      </c>
    </row>
    <row r="21" spans="1:16">
      <c r="A21" s="75">
        <v>16</v>
      </c>
      <c r="B21" s="65" t="s">
        <v>173</v>
      </c>
      <c r="C21" s="24" t="s">
        <v>20</v>
      </c>
      <c r="D21" s="24" t="s">
        <v>35</v>
      </c>
      <c r="E21" s="47">
        <v>2010</v>
      </c>
      <c r="F21" s="50">
        <v>2</v>
      </c>
      <c r="G21" s="16">
        <f>AVERAGE(2.9,3,2.8,2.8)</f>
        <v>2.875</v>
      </c>
      <c r="H21" s="31">
        <f t="shared" si="0"/>
        <v>7.125</v>
      </c>
      <c r="I21" s="16"/>
      <c r="J21" s="53">
        <f t="shared" si="1"/>
        <v>9.125</v>
      </c>
      <c r="K21" s="50">
        <v>2.5</v>
      </c>
      <c r="L21" s="16">
        <f>AVERAGE(1.8,1.9,1.9,1.8)</f>
        <v>1.8499999999999999</v>
      </c>
      <c r="M21" s="31">
        <f t="shared" si="2"/>
        <v>8.15</v>
      </c>
      <c r="N21" s="16"/>
      <c r="O21" s="53">
        <f t="shared" si="3"/>
        <v>10.65</v>
      </c>
      <c r="P21" s="76">
        <f t="shared" si="4"/>
        <v>19.774999999999999</v>
      </c>
    </row>
    <row r="22" spans="1:16">
      <c r="A22" s="75">
        <v>17</v>
      </c>
      <c r="B22" s="65" t="s">
        <v>174</v>
      </c>
      <c r="C22" s="24" t="s">
        <v>32</v>
      </c>
      <c r="D22" s="24" t="s">
        <v>168</v>
      </c>
      <c r="E22" s="47">
        <v>2010</v>
      </c>
      <c r="F22" s="50">
        <v>2.5</v>
      </c>
      <c r="G22" s="16">
        <f>AVERAGE(3,2.7,3.1,2.8)</f>
        <v>2.9000000000000004</v>
      </c>
      <c r="H22" s="31">
        <f t="shared" si="0"/>
        <v>7.1</v>
      </c>
      <c r="I22" s="16"/>
      <c r="J22" s="53">
        <f t="shared" si="1"/>
        <v>9.6</v>
      </c>
      <c r="K22" s="50">
        <v>2.5</v>
      </c>
      <c r="L22" s="16">
        <f>AVERAGE(2.7,2.6,2.8,2.5)</f>
        <v>2.6500000000000004</v>
      </c>
      <c r="M22" s="31">
        <f t="shared" si="2"/>
        <v>7.35</v>
      </c>
      <c r="N22" s="16"/>
      <c r="O22" s="53">
        <f t="shared" si="3"/>
        <v>9.85</v>
      </c>
      <c r="P22" s="76">
        <f t="shared" si="4"/>
        <v>19.45</v>
      </c>
    </row>
    <row r="23" spans="1:16">
      <c r="A23" s="75">
        <v>18</v>
      </c>
      <c r="B23" s="127" t="s">
        <v>175</v>
      </c>
      <c r="C23" s="129" t="s">
        <v>90</v>
      </c>
      <c r="D23" s="129" t="s">
        <v>170</v>
      </c>
      <c r="E23" s="132">
        <v>2010</v>
      </c>
      <c r="F23" s="125">
        <v>2.5</v>
      </c>
      <c r="G23" s="14">
        <f>AVERAGE(3.4,3.2,2.9,3.2)</f>
        <v>3.1749999999999998</v>
      </c>
      <c r="H23" s="126">
        <f t="shared" si="0"/>
        <v>6.8250000000000002</v>
      </c>
      <c r="I23" s="14"/>
      <c r="J23" s="86">
        <f t="shared" si="1"/>
        <v>9.3249999999999993</v>
      </c>
      <c r="K23" s="125">
        <v>2.5</v>
      </c>
      <c r="L23" s="14">
        <f>AVERAGE(2.6,2.6,2.5,2.4)</f>
        <v>2.5249999999999999</v>
      </c>
      <c r="M23" s="126">
        <f t="shared" si="2"/>
        <v>7.4749999999999996</v>
      </c>
      <c r="N23" s="14"/>
      <c r="O23" s="86">
        <f t="shared" si="3"/>
        <v>9.9749999999999996</v>
      </c>
      <c r="P23" s="102">
        <f t="shared" si="4"/>
        <v>19.299999999999997</v>
      </c>
    </row>
    <row r="24" spans="1:16">
      <c r="A24" s="75">
        <v>19</v>
      </c>
      <c r="B24" s="65" t="s">
        <v>176</v>
      </c>
      <c r="C24" s="24" t="s">
        <v>121</v>
      </c>
      <c r="D24" s="24" t="s">
        <v>122</v>
      </c>
      <c r="E24" s="47">
        <v>2010</v>
      </c>
      <c r="F24" s="50">
        <v>2.5</v>
      </c>
      <c r="G24" s="16">
        <f>AVERAGE(3.2,2.8,3.3,3)</f>
        <v>3.0750000000000002</v>
      </c>
      <c r="H24" s="31">
        <f t="shared" si="0"/>
        <v>6.9249999999999998</v>
      </c>
      <c r="I24" s="16"/>
      <c r="J24" s="53">
        <f t="shared" si="1"/>
        <v>9.4250000000000007</v>
      </c>
      <c r="K24" s="50">
        <v>2</v>
      </c>
      <c r="L24" s="16">
        <f>AVERAGE(2.2,2.2,2.2,2.1)</f>
        <v>2.1750000000000003</v>
      </c>
      <c r="M24" s="31">
        <f t="shared" si="2"/>
        <v>7.8249999999999993</v>
      </c>
      <c r="N24" s="16"/>
      <c r="O24" s="53">
        <f t="shared" si="3"/>
        <v>9.8249999999999993</v>
      </c>
      <c r="P24" s="76">
        <f t="shared" si="4"/>
        <v>19.25</v>
      </c>
    </row>
    <row r="25" spans="1:16">
      <c r="A25" s="75">
        <v>20</v>
      </c>
      <c r="B25" s="87" t="s">
        <v>177</v>
      </c>
      <c r="C25" s="24" t="s">
        <v>90</v>
      </c>
      <c r="D25" s="24" t="s">
        <v>170</v>
      </c>
      <c r="E25" s="47">
        <v>2010</v>
      </c>
      <c r="F25" s="50">
        <v>2.5</v>
      </c>
      <c r="G25" s="16">
        <f>AVERAGE(2.8,2.8,2.8,2.8)</f>
        <v>2.8</v>
      </c>
      <c r="H25" s="31">
        <f t="shared" si="0"/>
        <v>7.2</v>
      </c>
      <c r="I25" s="16"/>
      <c r="J25" s="53">
        <f t="shared" si="1"/>
        <v>9.6999999999999993</v>
      </c>
      <c r="K25" s="50">
        <v>2.5</v>
      </c>
      <c r="L25" s="16">
        <f>AVERAGE(4.3,4.3,3.8,3.7)</f>
        <v>4.0249999999999995</v>
      </c>
      <c r="M25" s="31">
        <f t="shared" si="2"/>
        <v>5.9750000000000005</v>
      </c>
      <c r="N25" s="16"/>
      <c r="O25" s="53">
        <f t="shared" si="3"/>
        <v>8.4750000000000014</v>
      </c>
      <c r="P25" s="76">
        <f t="shared" si="4"/>
        <v>18.175000000000001</v>
      </c>
    </row>
    <row r="26" spans="1:16">
      <c r="A26" s="75">
        <v>21</v>
      </c>
      <c r="B26" s="65" t="s">
        <v>178</v>
      </c>
      <c r="C26" s="24" t="s">
        <v>26</v>
      </c>
      <c r="D26" s="24" t="s">
        <v>48</v>
      </c>
      <c r="E26" s="47">
        <v>2010</v>
      </c>
      <c r="F26" s="50">
        <v>2.5</v>
      </c>
      <c r="G26" s="16">
        <f>AVERAGE(3.6,4.3,4.3,3.8)</f>
        <v>4</v>
      </c>
      <c r="H26" s="31">
        <f t="shared" si="0"/>
        <v>6</v>
      </c>
      <c r="I26" s="16"/>
      <c r="J26" s="53">
        <f t="shared" si="1"/>
        <v>8.5</v>
      </c>
      <c r="K26" s="50">
        <v>2.5</v>
      </c>
      <c r="L26" s="16">
        <f>AVERAGE(2.7,3,2.9,2.7)</f>
        <v>2.8250000000000002</v>
      </c>
      <c r="M26" s="31">
        <f t="shared" si="2"/>
        <v>7.1749999999999998</v>
      </c>
      <c r="N26" s="16"/>
      <c r="O26" s="53">
        <f t="shared" si="3"/>
        <v>9.6750000000000007</v>
      </c>
      <c r="P26" s="76">
        <f t="shared" si="4"/>
        <v>18.175000000000001</v>
      </c>
    </row>
    <row r="27" spans="1:16">
      <c r="A27" s="75">
        <v>22</v>
      </c>
      <c r="B27" s="122" t="s">
        <v>179</v>
      </c>
      <c r="C27" s="123" t="s">
        <v>76</v>
      </c>
      <c r="D27" s="123" t="s">
        <v>180</v>
      </c>
      <c r="E27" s="124">
        <v>2010</v>
      </c>
      <c r="F27" s="125">
        <v>2.5</v>
      </c>
      <c r="G27" s="14">
        <f>AVERAGE(3.6,3.9,3.6,3.4)</f>
        <v>3.625</v>
      </c>
      <c r="H27" s="126">
        <f t="shared" si="0"/>
        <v>6.375</v>
      </c>
      <c r="I27" s="14"/>
      <c r="J27" s="86">
        <f t="shared" si="1"/>
        <v>8.875</v>
      </c>
      <c r="K27" s="125">
        <v>1.5</v>
      </c>
      <c r="L27" s="14">
        <f>AVERAGE(2.3,2.2,2.5,3)</f>
        <v>2.5</v>
      </c>
      <c r="M27" s="126">
        <f t="shared" si="2"/>
        <v>7.5</v>
      </c>
      <c r="N27" s="14"/>
      <c r="O27" s="86">
        <f t="shared" si="3"/>
        <v>9</v>
      </c>
      <c r="P27" s="102">
        <f t="shared" si="4"/>
        <v>17.875</v>
      </c>
    </row>
    <row r="28" spans="1:16">
      <c r="A28" s="75">
        <v>23</v>
      </c>
      <c r="B28" s="122" t="s">
        <v>181</v>
      </c>
      <c r="C28" s="123" t="s">
        <v>20</v>
      </c>
      <c r="D28" s="123" t="s">
        <v>35</v>
      </c>
      <c r="E28" s="124">
        <v>2010</v>
      </c>
      <c r="F28" s="125">
        <v>2.5</v>
      </c>
      <c r="G28" s="14">
        <f>AVERAGE(3.9,3.9,3.8,3.5)</f>
        <v>3.7749999999999999</v>
      </c>
      <c r="H28" s="126">
        <f t="shared" si="0"/>
        <v>6.2249999999999996</v>
      </c>
      <c r="I28" s="14"/>
      <c r="J28" s="86">
        <f t="shared" si="1"/>
        <v>8.7249999999999996</v>
      </c>
      <c r="K28" s="125">
        <v>2.5</v>
      </c>
      <c r="L28" s="14">
        <f>AVERAGE(3.5,3.5,3.5,3.3)</f>
        <v>3.45</v>
      </c>
      <c r="M28" s="126">
        <f t="shared" si="2"/>
        <v>6.55</v>
      </c>
      <c r="N28" s="14"/>
      <c r="O28" s="86">
        <f t="shared" si="3"/>
        <v>9.0500000000000007</v>
      </c>
      <c r="P28" s="102">
        <f t="shared" si="4"/>
        <v>17.774999999999999</v>
      </c>
    </row>
    <row r="29" spans="1:16" ht="13.5" thickBot="1">
      <c r="A29" s="84">
        <v>24</v>
      </c>
      <c r="B29" s="128" t="s">
        <v>182</v>
      </c>
      <c r="C29" s="130" t="s">
        <v>90</v>
      </c>
      <c r="D29" s="130" t="s">
        <v>170</v>
      </c>
      <c r="E29" s="133">
        <v>2011</v>
      </c>
      <c r="F29" s="118">
        <v>1.5</v>
      </c>
      <c r="G29" s="45">
        <f>AVERAGE(2.4,2.7,2.5,2)</f>
        <v>2.4</v>
      </c>
      <c r="H29" s="119">
        <f t="shared" si="0"/>
        <v>7.6</v>
      </c>
      <c r="I29" s="45"/>
      <c r="J29" s="120">
        <f t="shared" si="1"/>
        <v>9.1</v>
      </c>
      <c r="K29" s="118">
        <v>1</v>
      </c>
      <c r="L29" s="45">
        <f>AVERAGE(4.5,4.5,4.5,4.5)</f>
        <v>4.5</v>
      </c>
      <c r="M29" s="119">
        <f t="shared" si="2"/>
        <v>5.5</v>
      </c>
      <c r="N29" s="45"/>
      <c r="O29" s="120">
        <f t="shared" si="3"/>
        <v>6.5</v>
      </c>
      <c r="P29" s="121">
        <f t="shared" si="4"/>
        <v>15.6</v>
      </c>
    </row>
  </sheetData>
  <sheetProtection selectLockedCells="1" selectUnlockedCells="1"/>
  <autoFilter ref="A5:P10">
    <sortState ref="A6:P32">
      <sortCondition descending="1" ref="P5:P13"/>
    </sortState>
  </autoFilter>
  <mergeCells count="2">
    <mergeCell ref="F4:J4"/>
    <mergeCell ref="K4:O4"/>
  </mergeCells>
  <phoneticPr fontId="2" type="noConversion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9"/>
  <sheetViews>
    <sheetView tabSelected="1" topLeftCell="A2" zoomScaleNormal="100" workbookViewId="0">
      <selection activeCell="B4" sqref="B4"/>
    </sheetView>
  </sheetViews>
  <sheetFormatPr defaultRowHeight="12.75"/>
  <cols>
    <col min="1" max="1" width="3.85546875" style="3" customWidth="1"/>
    <col min="2" max="2" width="26.7109375" style="3" bestFit="1" customWidth="1"/>
    <col min="3" max="3" width="18.85546875" style="3" bestFit="1" customWidth="1"/>
    <col min="4" max="4" width="17" style="3" customWidth="1"/>
    <col min="5" max="5" width="5.28515625" style="19" customWidth="1"/>
    <col min="6" max="6" width="8.7109375" style="3" bestFit="1" customWidth="1"/>
    <col min="7" max="7" width="8.85546875" style="3" customWidth="1"/>
    <col min="8" max="8" width="7.7109375" style="3" customWidth="1"/>
    <col min="9" max="9" width="9.7109375" style="3" customWidth="1"/>
    <col min="10" max="16384" width="9.140625" style="3"/>
  </cols>
  <sheetData>
    <row r="1" spans="1:9" ht="26.25" customHeight="1">
      <c r="A1" s="2" t="s">
        <v>148</v>
      </c>
      <c r="G1" s="2"/>
      <c r="H1" s="2" t="s">
        <v>1</v>
      </c>
      <c r="I1" s="4"/>
    </row>
    <row r="2" spans="1:9" ht="12.75" customHeight="1">
      <c r="B2" s="5" t="s">
        <v>2</v>
      </c>
      <c r="D2" s="6" t="s">
        <v>41</v>
      </c>
    </row>
    <row r="3" spans="1:9" ht="13.5" thickBot="1">
      <c r="B3" s="7">
        <v>42497</v>
      </c>
      <c r="D3" s="3" t="s">
        <v>4</v>
      </c>
    </row>
    <row r="4" spans="1:9" ht="18.75" customHeight="1">
      <c r="A4" s="81"/>
      <c r="B4" s="32" t="s">
        <v>183</v>
      </c>
      <c r="C4" s="8" t="s">
        <v>184</v>
      </c>
      <c r="D4" s="9"/>
      <c r="E4" s="137"/>
      <c r="F4" s="112" t="s">
        <v>185</v>
      </c>
      <c r="G4" s="104" t="s">
        <v>7</v>
      </c>
      <c r="H4" s="104" t="s">
        <v>186</v>
      </c>
      <c r="I4" s="40"/>
    </row>
    <row r="5" spans="1:9" ht="19.5" thickBot="1">
      <c r="A5" s="82" t="s">
        <v>10</v>
      </c>
      <c r="B5" s="80" t="s">
        <v>11</v>
      </c>
      <c r="C5" s="11" t="s">
        <v>12</v>
      </c>
      <c r="D5" s="11" t="s">
        <v>13</v>
      </c>
      <c r="E5" s="101" t="s">
        <v>14</v>
      </c>
      <c r="F5" s="113" t="s">
        <v>9</v>
      </c>
      <c r="G5" s="105" t="s">
        <v>9</v>
      </c>
      <c r="H5" s="105" t="s">
        <v>9</v>
      </c>
      <c r="I5" s="106" t="s">
        <v>9</v>
      </c>
    </row>
    <row r="6" spans="1:9">
      <c r="A6" s="154">
        <v>1</v>
      </c>
      <c r="B6" s="135" t="s">
        <v>187</v>
      </c>
      <c r="C6" s="117" t="s">
        <v>90</v>
      </c>
      <c r="D6" s="117" t="s">
        <v>188</v>
      </c>
      <c r="E6" s="109">
        <v>2008</v>
      </c>
      <c r="F6" s="115">
        <f>10-AVERAGE(1.6,1.7,1.3)</f>
        <v>8.4666666666666668</v>
      </c>
      <c r="G6" s="53">
        <f>10-AVERAGE(1,1.2,1.1)</f>
        <v>8.9</v>
      </c>
      <c r="H6" s="53">
        <f>10-AVERAGE(0.5,0.7,0.9)</f>
        <v>9.3000000000000007</v>
      </c>
      <c r="I6" s="76">
        <f t="shared" ref="I6:I16" si="0">IF(ISBLANK(F6),"",IF(ISBLANK(G6),"",F6+G6+H6))</f>
        <v>26.666666666666668</v>
      </c>
    </row>
    <row r="7" spans="1:9">
      <c r="A7" s="100">
        <v>2</v>
      </c>
      <c r="B7" s="87" t="s">
        <v>189</v>
      </c>
      <c r="C7" s="24" t="s">
        <v>90</v>
      </c>
      <c r="D7" s="24" t="s">
        <v>188</v>
      </c>
      <c r="E7" s="108">
        <v>2009</v>
      </c>
      <c r="F7" s="115">
        <f>10-AVERAGE(1.6,2.1,1.4)</f>
        <v>8.3000000000000007</v>
      </c>
      <c r="G7" s="53">
        <f>10-AVERAGE(0.8,1,0.8)</f>
        <v>9.1333333333333329</v>
      </c>
      <c r="H7" s="53">
        <f>10-AVERAGE(0.7,1.1,0.9)</f>
        <v>9.1</v>
      </c>
      <c r="I7" s="76">
        <f t="shared" si="0"/>
        <v>26.533333333333331</v>
      </c>
    </row>
    <row r="8" spans="1:9">
      <c r="A8" s="100">
        <v>3</v>
      </c>
      <c r="B8" s="87" t="s">
        <v>190</v>
      </c>
      <c r="C8" s="24" t="s">
        <v>90</v>
      </c>
      <c r="D8" s="24" t="s">
        <v>188</v>
      </c>
      <c r="E8" s="108">
        <v>2008</v>
      </c>
      <c r="F8" s="115">
        <f>10-AVERAGE(1.4,1.6,1.1)</f>
        <v>8.6333333333333329</v>
      </c>
      <c r="G8" s="53">
        <f>10-AVERAGE(1.3,1.3,1.3)</f>
        <v>8.6999999999999993</v>
      </c>
      <c r="H8" s="53">
        <f>10-AVERAGE(0.8,1.3,1.1)</f>
        <v>8.9333333333333336</v>
      </c>
      <c r="I8" s="76">
        <f t="shared" si="0"/>
        <v>26.266666666666666</v>
      </c>
    </row>
    <row r="9" spans="1:9">
      <c r="A9" s="100">
        <v>4</v>
      </c>
      <c r="B9" s="87" t="s">
        <v>191</v>
      </c>
      <c r="C9" s="24" t="s">
        <v>90</v>
      </c>
      <c r="D9" s="24" t="s">
        <v>188</v>
      </c>
      <c r="E9" s="108">
        <v>2008</v>
      </c>
      <c r="F9" s="115">
        <f>10-AVERAGE(1.3,1.5,1.1)</f>
        <v>8.6999999999999993</v>
      </c>
      <c r="G9" s="53">
        <f>10-AVERAGE(1.5,1.6,1)</f>
        <v>8.6333333333333329</v>
      </c>
      <c r="H9" s="53">
        <f>10-AVERAGE(0.9,1.3,1.2)</f>
        <v>8.8666666666666671</v>
      </c>
      <c r="I9" s="76">
        <f t="shared" si="0"/>
        <v>26.2</v>
      </c>
    </row>
    <row r="10" spans="1:9">
      <c r="A10" s="100">
        <v>5</v>
      </c>
      <c r="B10" s="89" t="s">
        <v>192</v>
      </c>
      <c r="C10" s="117" t="s">
        <v>54</v>
      </c>
      <c r="D10" s="117" t="s">
        <v>193</v>
      </c>
      <c r="E10" s="109">
        <v>2007</v>
      </c>
      <c r="F10" s="115">
        <f>10-AVERAGE(0.5,0.8,0.5)</f>
        <v>9.4</v>
      </c>
      <c r="G10" s="53">
        <f>10-AVERAGE(1.8,2.1,2.4)</f>
        <v>7.9</v>
      </c>
      <c r="H10" s="53">
        <f>10-AVERAGE(1.4,1.7,1.4)</f>
        <v>8.5</v>
      </c>
      <c r="I10" s="76">
        <f t="shared" si="0"/>
        <v>25.8</v>
      </c>
    </row>
    <row r="11" spans="1:9">
      <c r="A11" s="100">
        <v>6</v>
      </c>
      <c r="B11" s="67" t="s">
        <v>194</v>
      </c>
      <c r="C11" s="24" t="s">
        <v>90</v>
      </c>
      <c r="D11" s="24" t="s">
        <v>188</v>
      </c>
      <c r="E11" s="108">
        <v>2008</v>
      </c>
      <c r="F11" s="115">
        <f>10-AVERAGE(1.7,1.8,1.4)</f>
        <v>8.3666666666666671</v>
      </c>
      <c r="G11" s="53">
        <f>10-AVERAGE(1.4,1.8,1.3)</f>
        <v>8.5</v>
      </c>
      <c r="H11" s="53">
        <f>10-AVERAGE(2.4,2.7,2.4)</f>
        <v>7.5</v>
      </c>
      <c r="I11" s="76">
        <f t="shared" si="0"/>
        <v>24.366666666666667</v>
      </c>
    </row>
    <row r="12" spans="1:9">
      <c r="A12" s="100">
        <v>7</v>
      </c>
      <c r="B12" s="87" t="s">
        <v>195</v>
      </c>
      <c r="C12" s="24" t="s">
        <v>38</v>
      </c>
      <c r="D12" s="24" t="s">
        <v>196</v>
      </c>
      <c r="E12" s="108">
        <v>2008</v>
      </c>
      <c r="F12" s="115">
        <f>10-AVERAGE(2.5,3,1.9)</f>
        <v>7.5333333333333332</v>
      </c>
      <c r="G12" s="53">
        <f>10-AVERAGE(1.7,1.8,1.7)</f>
        <v>8.2666666666666657</v>
      </c>
      <c r="H12" s="53">
        <f>10-AVERAGE(1.8,2.6,2.3)</f>
        <v>7.7666666666666666</v>
      </c>
      <c r="I12" s="76">
        <f t="shared" si="0"/>
        <v>23.566666666666666</v>
      </c>
    </row>
    <row r="13" spans="1:9">
      <c r="A13" s="100">
        <v>8</v>
      </c>
      <c r="B13" s="87" t="s">
        <v>197</v>
      </c>
      <c r="C13" s="24" t="s">
        <v>59</v>
      </c>
      <c r="D13" s="24" t="s">
        <v>60</v>
      </c>
      <c r="E13" s="108">
        <v>2008</v>
      </c>
      <c r="F13" s="115">
        <f>10-AVERAGE(2.4,2.5,2.4)</f>
        <v>7.5666666666666664</v>
      </c>
      <c r="G13" s="53">
        <f>10-AVERAGE(2.9,3.1,3.4)</f>
        <v>6.8666666666666671</v>
      </c>
      <c r="H13" s="53">
        <f>10-AVERAGE(2.6,2.9,2.8)</f>
        <v>7.2333333333333325</v>
      </c>
      <c r="I13" s="76">
        <f t="shared" si="0"/>
        <v>21.666666666666664</v>
      </c>
    </row>
    <row r="14" spans="1:9">
      <c r="A14" s="100">
        <v>9</v>
      </c>
      <c r="B14" s="67" t="s">
        <v>198</v>
      </c>
      <c r="C14" s="24" t="s">
        <v>59</v>
      </c>
      <c r="D14" s="24" t="s">
        <v>60</v>
      </c>
      <c r="E14" s="108">
        <v>2008</v>
      </c>
      <c r="F14" s="115">
        <f>10-AVERAGE(2.6,3,2.7)</f>
        <v>7.2333333333333325</v>
      </c>
      <c r="G14" s="53">
        <f>10-AVERAGE(3.2,3.4,3)</f>
        <v>6.8000000000000007</v>
      </c>
      <c r="H14" s="53">
        <f>10-AVERAGE(2.3,2.8,2.6)</f>
        <v>7.4333333333333336</v>
      </c>
      <c r="I14" s="76">
        <f t="shared" si="0"/>
        <v>21.466666666666669</v>
      </c>
    </row>
    <row r="15" spans="1:9">
      <c r="A15" s="100">
        <v>10</v>
      </c>
      <c r="B15" s="88" t="s">
        <v>199</v>
      </c>
      <c r="C15" s="26" t="s">
        <v>54</v>
      </c>
      <c r="D15" s="26" t="s">
        <v>200</v>
      </c>
      <c r="E15" s="110">
        <v>2008</v>
      </c>
      <c r="F15" s="115">
        <f>10-AVERAGE(2.3,2.8,2.3)</f>
        <v>7.5333333333333332</v>
      </c>
      <c r="G15" s="53">
        <f>10-AVERAGE(2.8,3.1,2.5)</f>
        <v>7.1999999999999993</v>
      </c>
      <c r="H15" s="53">
        <f>10-AVERAGE(3.3,3.7,3.6)</f>
        <v>6.4666666666666668</v>
      </c>
      <c r="I15" s="76">
        <f t="shared" si="0"/>
        <v>21.2</v>
      </c>
    </row>
    <row r="16" spans="1:9" ht="13.5" thickBot="1">
      <c r="A16" s="155">
        <v>11</v>
      </c>
      <c r="B16" s="134" t="s">
        <v>201</v>
      </c>
      <c r="C16" s="39" t="s">
        <v>59</v>
      </c>
      <c r="D16" s="39" t="s">
        <v>60</v>
      </c>
      <c r="E16" s="111">
        <v>2008</v>
      </c>
      <c r="F16" s="116">
        <v>0</v>
      </c>
      <c r="G16" s="54">
        <f>10-AVERAGE(3.1,3.8,3.6)</f>
        <v>6.5</v>
      </c>
      <c r="H16" s="54">
        <f>10-AVERAGE(2.7,3.2,2.7)</f>
        <v>7.1333333333333329</v>
      </c>
      <c r="I16" s="77">
        <f t="shared" si="0"/>
        <v>13.633333333333333</v>
      </c>
    </row>
    <row r="19" spans="1:9" ht="18.75">
      <c r="A19" s="2" t="s">
        <v>148</v>
      </c>
      <c r="G19" s="2"/>
      <c r="H19" s="2" t="s">
        <v>1</v>
      </c>
      <c r="I19" s="4"/>
    </row>
    <row r="20" spans="1:9">
      <c r="B20" s="5" t="s">
        <v>2</v>
      </c>
      <c r="D20" s="6" t="s">
        <v>41</v>
      </c>
    </row>
    <row r="21" spans="1:9" ht="13.5" thickBot="1">
      <c r="B21" s="7">
        <v>42497</v>
      </c>
      <c r="D21" s="3" t="s">
        <v>4</v>
      </c>
    </row>
    <row r="22" spans="1:9" ht="18.75">
      <c r="A22" s="81"/>
      <c r="B22" s="32" t="s">
        <v>183</v>
      </c>
      <c r="C22" s="8" t="s">
        <v>202</v>
      </c>
      <c r="D22" s="9"/>
      <c r="E22" s="137"/>
      <c r="F22" s="112" t="s">
        <v>185</v>
      </c>
      <c r="G22" s="104" t="s">
        <v>7</v>
      </c>
      <c r="H22" s="104" t="s">
        <v>186</v>
      </c>
      <c r="I22" s="40"/>
    </row>
    <row r="23" spans="1:9" ht="19.5" thickBot="1">
      <c r="A23" s="82" t="s">
        <v>10</v>
      </c>
      <c r="B23" s="80" t="s">
        <v>11</v>
      </c>
      <c r="C23" s="11" t="s">
        <v>12</v>
      </c>
      <c r="D23" s="11" t="s">
        <v>13</v>
      </c>
      <c r="E23" s="101" t="s">
        <v>14</v>
      </c>
      <c r="F23" s="113" t="s">
        <v>9</v>
      </c>
      <c r="G23" s="105" t="s">
        <v>9</v>
      </c>
      <c r="H23" s="105" t="s">
        <v>9</v>
      </c>
      <c r="I23" s="106" t="s">
        <v>9</v>
      </c>
    </row>
    <row r="24" spans="1:9">
      <c r="A24" s="148">
        <v>1</v>
      </c>
      <c r="B24" s="149" t="s">
        <v>203</v>
      </c>
      <c r="C24" s="44" t="s">
        <v>90</v>
      </c>
      <c r="D24" s="44" t="s">
        <v>188</v>
      </c>
      <c r="E24" s="150">
        <v>2010</v>
      </c>
      <c r="F24" s="151">
        <f>10-AVERAGE(0.9,0.8,0.5)</f>
        <v>9.2666666666666657</v>
      </c>
      <c r="G24" s="52">
        <v>9.25</v>
      </c>
      <c r="H24" s="52">
        <f>10-AVERAGE(0.5,0.6,0.4)</f>
        <v>9.5</v>
      </c>
      <c r="I24" s="152">
        <f>IF(ISBLANK(F24),"",IF(ISBLANK(G24),"",F24+G24+H24))</f>
        <v>28.016666666666666</v>
      </c>
    </row>
    <row r="25" spans="1:9">
      <c r="A25" s="99">
        <v>2</v>
      </c>
      <c r="B25" s="103" t="s">
        <v>204</v>
      </c>
      <c r="C25" s="123" t="s">
        <v>90</v>
      </c>
      <c r="D25" s="123" t="s">
        <v>188</v>
      </c>
      <c r="E25" s="107">
        <v>2010</v>
      </c>
      <c r="F25" s="114">
        <f>10-AVERAGE(1,0.9,0.8)</f>
        <v>9.1</v>
      </c>
      <c r="G25" s="86">
        <v>8.1</v>
      </c>
      <c r="H25" s="86">
        <f>10-AVERAGE(0.7,1.3,0.9)</f>
        <v>9.0333333333333332</v>
      </c>
      <c r="I25" s="102">
        <f t="shared" ref="I25:I29" si="1">IF(ISBLANK(F25),"",IF(ISBLANK(G25),"",F25+G25+H25))</f>
        <v>26.233333333333334</v>
      </c>
    </row>
    <row r="26" spans="1:9">
      <c r="A26" s="99">
        <v>3</v>
      </c>
      <c r="B26" s="87" t="s">
        <v>205</v>
      </c>
      <c r="C26" s="24" t="s">
        <v>54</v>
      </c>
      <c r="D26" s="24" t="s">
        <v>200</v>
      </c>
      <c r="E26" s="108">
        <v>2009</v>
      </c>
      <c r="F26" s="115">
        <f>10-AVERAGE(1.2,1.1,0.8)</f>
        <v>8.9666666666666668</v>
      </c>
      <c r="G26" s="53">
        <f>10-AVERAGE(2.7,2.2,2.1)</f>
        <v>7.6666666666666661</v>
      </c>
      <c r="H26" s="53">
        <f>10-AVERAGE(1.1,1.6,1)</f>
        <v>8.7666666666666657</v>
      </c>
      <c r="I26" s="76">
        <f>IF(ISBLANK(F26),"",IF(ISBLANK(G26),"",F26+G26+H26))</f>
        <v>25.4</v>
      </c>
    </row>
    <row r="27" spans="1:9">
      <c r="A27" s="99">
        <v>4</v>
      </c>
      <c r="B27" s="67" t="s">
        <v>206</v>
      </c>
      <c r="C27" s="24" t="s">
        <v>54</v>
      </c>
      <c r="D27" s="24" t="s">
        <v>200</v>
      </c>
      <c r="E27" s="108">
        <v>2009</v>
      </c>
      <c r="F27" s="115">
        <f>10-AVERAGE(2.1,2,2.5)</f>
        <v>7.8000000000000007</v>
      </c>
      <c r="G27" s="53">
        <f>10-AVERAGE(2.3,2.1,2.1)</f>
        <v>7.8333333333333339</v>
      </c>
      <c r="H27" s="53">
        <f>10-AVERAGE(0.5,0.8,0.7)</f>
        <v>9.3333333333333339</v>
      </c>
      <c r="I27" s="76">
        <f>IF(ISBLANK(F27),"",IF(ISBLANK(G27),"",F27+G27+H27))</f>
        <v>24.966666666666669</v>
      </c>
    </row>
    <row r="28" spans="1:9">
      <c r="A28" s="99">
        <v>5</v>
      </c>
      <c r="B28" s="89" t="s">
        <v>207</v>
      </c>
      <c r="C28" s="117" t="s">
        <v>54</v>
      </c>
      <c r="D28" s="117" t="s">
        <v>200</v>
      </c>
      <c r="E28" s="109">
        <v>2009</v>
      </c>
      <c r="F28" s="115">
        <f>10-AVERAGE(2.1,2,2.5)</f>
        <v>7.8000000000000007</v>
      </c>
      <c r="G28" s="53">
        <f>10-AVERAGE(2.2,1.8,2)</f>
        <v>8</v>
      </c>
      <c r="H28" s="53">
        <f>10-AVERAGE(0.8,1.1,1.9)</f>
        <v>8.7333333333333343</v>
      </c>
      <c r="I28" s="76">
        <f>IF(ISBLANK(F28),"",IF(ISBLANK(G28),"",F28+G28+H28))</f>
        <v>24.533333333333335</v>
      </c>
    </row>
    <row r="29" spans="1:9" ht="13.5" thickBot="1">
      <c r="A29" s="153">
        <v>6</v>
      </c>
      <c r="B29" s="134" t="s">
        <v>208</v>
      </c>
      <c r="C29" s="39" t="s">
        <v>38</v>
      </c>
      <c r="D29" s="39" t="s">
        <v>196</v>
      </c>
      <c r="E29" s="111">
        <v>2010</v>
      </c>
      <c r="F29" s="116">
        <f>10-AVERAGE(1.7,1.8,1.4)</f>
        <v>8.3666666666666671</v>
      </c>
      <c r="G29" s="54">
        <v>6.75</v>
      </c>
      <c r="H29" s="54">
        <f>10-AVERAGE(2.7,3.1,2.8)</f>
        <v>7.1333333333333329</v>
      </c>
      <c r="I29" s="77">
        <f t="shared" si="1"/>
        <v>22.25</v>
      </c>
    </row>
  </sheetData>
  <autoFilter ref="A5:I5">
    <sortState ref="A6:I19">
      <sortCondition descending="1" ref="I5"/>
    </sortState>
  </autoFilter>
  <pageMargins left="0" right="0" top="0.5118110236220472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Kopacek Jiri (JIKOPAC)</cp:lastModifiedBy>
  <cp:revision/>
  <dcterms:created xsi:type="dcterms:W3CDTF">2012-05-12T05:53:01Z</dcterms:created>
  <dcterms:modified xsi:type="dcterms:W3CDTF">2016-05-09T06:37:27Z</dcterms:modified>
  <cp:category/>
  <cp:contentStatus/>
</cp:coreProperties>
</file>